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tabRatio="500" activeTab="0"/>
  </bookViews>
  <sheets>
    <sheet name="Coleta Domiciliar" sheetId="1" r:id="rId1"/>
  </sheets>
  <definedNames>
    <definedName name="_xlnm.Print_Area" localSheetId="0">'Coleta Domiciliar'!$A$4:$F$808</definedName>
    <definedName name="Excel_BuiltIn_Print_Area" localSheetId="0">'Coleta Domiciliar'!$A$4:$F$777</definedName>
    <definedName name="Excel_BuiltIn_Print_Titles" localSheetId="0">'Coleta Domiciliar'!$1:$7</definedName>
    <definedName name="_xlnm.Print_Titles" localSheetId="0">'Coleta Domiciliar'!$1:$7</definedName>
  </definedNames>
  <calcPr fullCalcOnLoad="1"/>
</workbook>
</file>

<file path=xl/sharedStrings.xml><?xml version="1.0" encoding="utf-8"?>
<sst xmlns="http://schemas.openxmlformats.org/spreadsheetml/2006/main" count="1236" uniqueCount="278">
  <si>
    <t>Coleta, Transporte e Destinação Final Resíduos Domiciliares</t>
  </si>
  <si>
    <t>Planilha de Composição de Custos (P.O)</t>
  </si>
  <si>
    <t>Síntese dos custos</t>
  </si>
  <si>
    <t>Item</t>
  </si>
  <si>
    <t>Custo (R$/mês)</t>
  </si>
  <si>
    <t>%</t>
  </si>
  <si>
    <t>CUSTO TOTAL MENSAL COM A COLETA DOMICILIAR</t>
  </si>
  <si>
    <t>Síntese de quantitativos</t>
  </si>
  <si>
    <t>Mão-de-obra</t>
  </si>
  <si>
    <t>Quantidade</t>
  </si>
  <si>
    <t>Total de mão de obra (postos de trabalho)</t>
  </si>
  <si>
    <t>Veículos e Equipamentos</t>
  </si>
  <si>
    <t>1. Mão de obra</t>
  </si>
  <si>
    <t>1.1. Coletor (Coleta domiciliar e coleta de resíduos públicos)</t>
  </si>
  <si>
    <t>Discriminação</t>
  </si>
  <si>
    <t>Unidade</t>
  </si>
  <si>
    <t>Preço unitário</t>
  </si>
  <si>
    <t>Subtotal</t>
  </si>
  <si>
    <r>
      <rPr>
        <b/>
        <sz val="9"/>
        <rFont val="Arial"/>
        <family val="2"/>
      </rPr>
      <t xml:space="preserve">Total </t>
    </r>
    <r>
      <rPr>
        <b/>
        <u val="single"/>
        <sz val="9"/>
        <rFont val="Arial"/>
        <family val="2"/>
      </rPr>
      <t>(R$)</t>
    </r>
  </si>
  <si>
    <t>Salário Normal</t>
  </si>
  <si>
    <t>mês</t>
  </si>
  <si>
    <t>Horas Extras (100%)</t>
  </si>
  <si>
    <t>hora</t>
  </si>
  <si>
    <t>Horas Extras (50%)</t>
  </si>
  <si>
    <t>Adicional de Insalubridade</t>
  </si>
  <si>
    <t>Soma</t>
  </si>
  <si>
    <t>Encargos Sociais</t>
  </si>
  <si>
    <t>Total por Coletor</t>
  </si>
  <si>
    <t>Total do Efetivo</t>
  </si>
  <si>
    <t>homem</t>
  </si>
  <si>
    <t>semana</t>
  </si>
  <si>
    <t>dias</t>
  </si>
  <si>
    <t>Turnos Trabalhados na Coleta Regular</t>
  </si>
  <si>
    <t>1.2. Coletor Turno da Intermediária (Coleta domiciliar e coleta de resíduos públicos)</t>
  </si>
  <si>
    <t>Adicional Noturno</t>
  </si>
  <si>
    <t>1.3. Coletor Turno da Madrugada (Coleta de resíduos públicos)</t>
  </si>
  <si>
    <t>1.2. Motorista (Coleta domiciliar e coleta de resíduos públicos)</t>
  </si>
  <si>
    <t>Total por Motorista</t>
  </si>
  <si>
    <t>1.5. Motorista Turno da Intermediária (Coleta domiciliar e coleta de resíduos públicos)</t>
  </si>
  <si>
    <t>1.6. Motorista Turno da Madrugada (Coleta de resíduos públicos)</t>
  </si>
  <si>
    <t>1.7. Fiscal Turno do Dia</t>
  </si>
  <si>
    <t>Total por Fiscal</t>
  </si>
  <si>
    <t>1.8. Fiscal Turno da Noite</t>
  </si>
  <si>
    <t>Horas Extras Noturnas (50%)</t>
  </si>
  <si>
    <t>1.9. Supervisor Turno do Dia</t>
  </si>
  <si>
    <t>Total por Supervisor</t>
  </si>
  <si>
    <t>1.10. Supervisor Turno da Noite</t>
  </si>
  <si>
    <t>1.11. Técnico em Segurança do Trabalho Turno do Dia</t>
  </si>
  <si>
    <t>Total por Técnico</t>
  </si>
  <si>
    <t>1.12. Técnico em Segurança do Trabalho Turno da Noite</t>
  </si>
  <si>
    <t>1.13. Auxiliar Operacional Turno do Dia</t>
  </si>
  <si>
    <t>Total por Auxiliar Operacional</t>
  </si>
  <si>
    <t>1.14. Auxiliar Operacional Turno da Noite</t>
  </si>
  <si>
    <t>1.15. Outras especialidades (SESMT)</t>
  </si>
  <si>
    <t>Engenheiro de Segurança do Trabalho</t>
  </si>
  <si>
    <t>posto</t>
  </si>
  <si>
    <t>Médico do Trabalho</t>
  </si>
  <si>
    <t>1.3. Gerente</t>
  </si>
  <si>
    <t>Total por Gerente Operacional</t>
  </si>
  <si>
    <t>Turnos Trabalhados na Coleta Interior</t>
  </si>
  <si>
    <t>1.17. Vale Transporte</t>
  </si>
  <si>
    <t>Coletor</t>
  </si>
  <si>
    <t>vale</t>
  </si>
  <si>
    <t>Motorista</t>
  </si>
  <si>
    <t>Fiscal</t>
  </si>
  <si>
    <t>Técnicos em Segurança do Trabalho</t>
  </si>
  <si>
    <t>Auxiliar Operacional</t>
  </si>
  <si>
    <t>1.18. Auxílio Alimentação</t>
  </si>
  <si>
    <t>unidade</t>
  </si>
  <si>
    <t>Custo Mensal com Mão-de-obra (R$/mês) ..............................................................................................</t>
  </si>
  <si>
    <t>2. Uniformes e Equipamentos de Proteção Individual</t>
  </si>
  <si>
    <t>2.1. Uniformes e EPI's para Coletor</t>
  </si>
  <si>
    <t>Durabilidade</t>
  </si>
  <si>
    <t>Jaqueta com reflexivo (NBR 15.292)</t>
  </si>
  <si>
    <t>Calça</t>
  </si>
  <si>
    <t>Camiseta de algodão</t>
  </si>
  <si>
    <t>Boné</t>
  </si>
  <si>
    <t>Tênis de segurança com palmilha aço</t>
  </si>
  <si>
    <t>par</t>
  </si>
  <si>
    <t>Meia de algodão com ano alto</t>
  </si>
  <si>
    <t>Capa de chuva amarela com reflexivo</t>
  </si>
  <si>
    <t>Colete reflexivo</t>
  </si>
  <si>
    <t>Luva de proteção</t>
  </si>
  <si>
    <t>Protetor solar FPS 30</t>
  </si>
  <si>
    <t>frasco 120g</t>
  </si>
  <si>
    <t>Higienização de uniformes e EPI's</t>
  </si>
  <si>
    <t>Total</t>
  </si>
  <si>
    <t>2.2. Uniformes e EPI's para Motorista, Fiscal, Supervisor e Técnico Seg. Trabalho</t>
  </si>
  <si>
    <t>Camiseta</t>
  </si>
  <si>
    <t>Botina de segurança c/ palmilha aço</t>
  </si>
  <si>
    <t>Custo Mensal com Uniformes e EPI's (R$/mês) .........................................................................</t>
  </si>
  <si>
    <t>3. Veículos e Equipamentos</t>
  </si>
  <si>
    <t>3.1. Veículo Coletor (Coleta domiciliar)</t>
  </si>
  <si>
    <t>3.1.1. Depreciação</t>
  </si>
  <si>
    <t>Caminhão Compactador – 15 Toneladas</t>
  </si>
  <si>
    <t>Custo de aquisição Compactador</t>
  </si>
  <si>
    <t>Depreciação dos chassis (60 meses)</t>
  </si>
  <si>
    <r>
      <rPr>
        <sz val="10"/>
        <rFont val="Arial"/>
        <family val="2"/>
      </rPr>
      <t>Depr. compactadores disp.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>(60 meses)</t>
    </r>
  </si>
  <si>
    <t>Depreciação mensal veículos coletores</t>
  </si>
  <si>
    <t>Caminhão Basculante – Lixo Seco</t>
  </si>
  <si>
    <t>Custo de aquisição caçamba/carroceria</t>
  </si>
  <si>
    <t>3.1.2. Remuneração do Capital  Investido</t>
  </si>
  <si>
    <t>Custo dos veículos coletores - Caminhão Compactador – 15 Toneladas</t>
  </si>
  <si>
    <t>Valor da Utilização</t>
  </si>
  <si>
    <t>Custo dos veículos coletores - Caminhão Basculante – Lixo Seco</t>
  </si>
  <si>
    <t>Remuneração mensal de capital – Taxa Selic</t>
  </si>
  <si>
    <t>Remuneração do Capital Investido</t>
  </si>
  <si>
    <t>3.1.3. Impostos e Seguros</t>
  </si>
  <si>
    <t>IPVA -  Caminhão Compactador – 15 Toneladas</t>
  </si>
  <si>
    <t>Expedição Documento  - Caminhão Compactador – 15 Toneladas</t>
  </si>
  <si>
    <t>Seguro contra terceiros  - Caminhão Compactador – 15 Toneladas</t>
  </si>
  <si>
    <t>IPVA – Caminhão Basculante – Lixo Seco</t>
  </si>
  <si>
    <t>Expedição Documento  - Caminhão Basculante – Lixo Seco</t>
  </si>
  <si>
    <t>Seguro contra terceiros  - Caminhão Basculante – Lixo Seco</t>
  </si>
  <si>
    <t>Expedição Documento  - Caminhão Basculante – 4 vezes ao ano – entulhos</t>
  </si>
  <si>
    <t>Seguro contra terceiros  - Caminhão Basculante – 4 vezes ao ano – entulhos</t>
  </si>
  <si>
    <t>Impostos e seguros mensais</t>
  </si>
  <si>
    <t>3.1.4. Consumos</t>
  </si>
  <si>
    <t>Custo de óleo diesel / km rodado</t>
  </si>
  <si>
    <t>km/l</t>
  </si>
  <si>
    <t>Custo mensal com óleo diesel</t>
  </si>
  <si>
    <t>km</t>
  </si>
  <si>
    <t>C. de óleo do motor /1.000 km rodados</t>
  </si>
  <si>
    <t>l/1.000 km</t>
  </si>
  <si>
    <t>Custo mensal com óleo do motor</t>
  </si>
  <si>
    <t>C. de óleo da transmissão /1.000 km</t>
  </si>
  <si>
    <t>Custo mensal com óleo da transmissão</t>
  </si>
  <si>
    <t>C. de óleo hidráulico / 1.000 km</t>
  </si>
  <si>
    <t>Custo mensal com óleo hidráulico</t>
  </si>
  <si>
    <t>Custo de graxa /1.000 km rodados</t>
  </si>
  <si>
    <t>kg/1.000 km</t>
  </si>
  <si>
    <t>Custo mensal com graxa</t>
  </si>
  <si>
    <t>3.1.5. Manutenção</t>
  </si>
  <si>
    <t>Custo de aquisição dos chassis</t>
  </si>
  <si>
    <t>Custo estim. c/manutenção (60 meses)</t>
  </si>
  <si>
    <t>Custo mensal com manutenção</t>
  </si>
  <si>
    <t>Turnos Trabalhados na Coleta</t>
  </si>
  <si>
    <t>3.1.6. Pneus</t>
  </si>
  <si>
    <t>Custo do jogo de pneus 275/80 R 22,5</t>
  </si>
  <si>
    <t>Custo de recapagem</t>
  </si>
  <si>
    <t>Custo jg. compl. + recap. / km rodado</t>
  </si>
  <si>
    <t>km/jogo</t>
  </si>
  <si>
    <t>Custo mensal com pneus</t>
  </si>
  <si>
    <t>Total do Item 3.1</t>
  </si>
  <si>
    <t>3.2. Veículo Coletor Compactador Truck (Coleta domiciliar)</t>
  </si>
  <si>
    <t>3.2.1. Depreciação</t>
  </si>
  <si>
    <t>Custo de aquisição dos chassis ¹</t>
  </si>
  <si>
    <t>Custo de aquisição dos compactadores</t>
  </si>
  <si>
    <r>
      <rPr>
        <sz val="10"/>
        <rFont val="Arial"/>
        <family val="2"/>
      </rPr>
      <t xml:space="preserve">Depreciação compactadores </t>
    </r>
    <r>
      <rPr>
        <sz val="9"/>
        <rFont val="Arial"/>
        <family val="2"/>
      </rPr>
      <t>(60 meses)</t>
    </r>
  </si>
  <si>
    <t>¹ Os chassis cotados possuem cabine para 4 (quatro) tripulantes. Caso a licitante opte por chassis com cabine para 3 (três) tripulantes, deverá prever o custo com transporte para os tripulantes excedentes (Composição das equipes de coleta: Motorista + 3 (três) Coletores).</t>
  </si>
  <si>
    <t>3.2.2.  Remuneração do Capital  Investido</t>
  </si>
  <si>
    <t>Custo dos veículos coletores</t>
  </si>
  <si>
    <t>Remuneração mensal de capital</t>
  </si>
  <si>
    <t>3.2.3. Impostos e Seguros</t>
  </si>
  <si>
    <t>IPVA</t>
  </si>
  <si>
    <t>Seguro obrigatório</t>
  </si>
  <si>
    <t>Seguro contra terceiros</t>
  </si>
  <si>
    <t>3.2.4. Consumos</t>
  </si>
  <si>
    <t>3.2.5. Manutenção</t>
  </si>
  <si>
    <t>3.2.6. Pneus</t>
  </si>
  <si>
    <t>Total do Item 3.2</t>
  </si>
  <si>
    <t>3.3. Veículo Compactador com Capacidade entre 5 e 6 m³</t>
  </si>
  <si>
    <t>3.3.1. Depreciação</t>
  </si>
  <si>
    <r>
      <rPr>
        <sz val="10"/>
        <rFont val="Arial"/>
        <family val="2"/>
      </rPr>
      <t xml:space="preserve">Deprec. dos compactadores </t>
    </r>
    <r>
      <rPr>
        <sz val="9"/>
        <rFont val="Arial"/>
        <family val="2"/>
      </rPr>
      <t>(60 meses)</t>
    </r>
  </si>
  <si>
    <t>3.3.2. Remuneração do Capital  Investido</t>
  </si>
  <si>
    <t>3.3.3. Impostos e Seguros</t>
  </si>
  <si>
    <t>3.3.4. Consumos</t>
  </si>
  <si>
    <t>3.3.5. Manutenção</t>
  </si>
  <si>
    <t>3.3.6. Pneus</t>
  </si>
  <si>
    <t>Custo do jogo de pneus 215/75</t>
  </si>
  <si>
    <t>Custo do jogo de pneus 215/75 R 12,5</t>
  </si>
  <si>
    <t>Total do Item 3.3</t>
  </si>
  <si>
    <t>3.4. Veículo de Pequeno Porte (tração 4x4), com caçamba basculante metálica de 4m³</t>
  </si>
  <si>
    <t>3.4.1. Depreciação</t>
  </si>
  <si>
    <t>Custo de aquisição das caçambas</t>
  </si>
  <si>
    <t>Deprec. das caçambas (60 meses)</t>
  </si>
  <si>
    <t>3.4.2. Remuneração do Capital  Investido</t>
  </si>
  <si>
    <t xml:space="preserve">Custo dos veículos </t>
  </si>
  <si>
    <t>3.4.3. Impostos e Seguros</t>
  </si>
  <si>
    <t>3.4.4. Consumos</t>
  </si>
  <si>
    <t>3.4.5. Manutenção</t>
  </si>
  <si>
    <t>3.4.6. Pneus</t>
  </si>
  <si>
    <t>Total do Item 3.4</t>
  </si>
  <si>
    <t>3.5. Veículo Coletor Compactador Toco (Coleta de resíduos públicos)</t>
  </si>
  <si>
    <t>3.5.1. Depreciação</t>
  </si>
  <si>
    <t>Custo aquis. equip. bascul. contêineres</t>
  </si>
  <si>
    <t>3.5.2. Remuneração do Capital  Investido</t>
  </si>
  <si>
    <t>3.5.3. Impostos e Seguros</t>
  </si>
  <si>
    <t>3.5.4. Consumos</t>
  </si>
  <si>
    <t>3.5.5. Manutenção</t>
  </si>
  <si>
    <t xml:space="preserve">C. de aquis. equip. basc. contêineres </t>
  </si>
  <si>
    <t>3.5.6. Pneus</t>
  </si>
  <si>
    <t>Total do Item 3.5</t>
  </si>
  <si>
    <t>3.6. Veículos e Equipamentos</t>
  </si>
  <si>
    <t>(Apoio Operacional)</t>
  </si>
  <si>
    <t>Automóvel 5 passageiros</t>
  </si>
  <si>
    <t>Automóvel utilitário</t>
  </si>
  <si>
    <t>Combustível (Gasolina)</t>
  </si>
  <si>
    <t>litro</t>
  </si>
  <si>
    <t>Comunicação móvel</t>
  </si>
  <si>
    <t>3.7. Contêiner em PEAD capacidade 1.000L (um mil litros)</t>
  </si>
  <si>
    <t>3.7.1. Depreciação</t>
  </si>
  <si>
    <t>Custo de aquisição dos contêineres</t>
  </si>
  <si>
    <t>Depreciação contêineres (60 meses)</t>
  </si>
  <si>
    <t>Depreciação mensal dos contêineres</t>
  </si>
  <si>
    <t>3.7.2. Remuneração do Capital  Investido</t>
  </si>
  <si>
    <t>Custo dos contêineres</t>
  </si>
  <si>
    <t>3.7.3. Manutenção e Reposição de Perdas</t>
  </si>
  <si>
    <t>Custo est. manut./reposição (60 meses)</t>
  </si>
  <si>
    <t>Custo mensal com manut./reposição</t>
  </si>
  <si>
    <t>Total do Item 3.7</t>
  </si>
  <si>
    <t>3.8. Contêiner em PEAD capacidade 360L (trezentos e sessenta litros)</t>
  </si>
  <si>
    <t>3.8.1. Depreciação</t>
  </si>
  <si>
    <t>3.8.2. Remuneração do Capital  Investido</t>
  </si>
  <si>
    <t>3.8.3. Manutenção e Reposição de Perdas</t>
  </si>
  <si>
    <t>Total do Item 3.8</t>
  </si>
  <si>
    <t>Custo Mensal com Veículos e Equipamentos (R$/mês) ................................................................................</t>
  </si>
  <si>
    <t>4. Ferramentas e Materiais de Consumo</t>
  </si>
  <si>
    <t>Recipiente térmico para água (5L)</t>
  </si>
  <si>
    <t>Pá de Concha</t>
  </si>
  <si>
    <t>Vassoura</t>
  </si>
  <si>
    <r>
      <rPr>
        <sz val="10"/>
        <rFont val="Arial"/>
        <family val="2"/>
      </rPr>
      <t>Lona imperm. 3x4m (caçamba 4m</t>
    </r>
    <r>
      <rPr>
        <i/>
        <sz val="10"/>
        <rFont val="Arial"/>
        <family val="2"/>
      </rPr>
      <t>³</t>
    </r>
    <r>
      <rPr>
        <sz val="10"/>
        <rFont val="Arial"/>
        <family val="2"/>
      </rPr>
      <t>)</t>
    </r>
  </si>
  <si>
    <t>Publicidade (adesivos equipamentos)</t>
  </si>
  <si>
    <t>cj</t>
  </si>
  <si>
    <t>Publicidade (adesivos veículos)</t>
  </si>
  <si>
    <t>Custo Mensal com Ferramentas e Materiais de Consumo (R$/mês) ..............................................</t>
  </si>
  <si>
    <t>5. Monitoramento da Frota</t>
  </si>
  <si>
    <t>Implantação dos equipamentos "GPS" ²</t>
  </si>
  <si>
    <t>Implantação sistema de câmeras ³</t>
  </si>
  <si>
    <t>Capacitação de pessoal (treinamento)</t>
  </si>
  <si>
    <t>Custo mensal com implantação</t>
  </si>
  <si>
    <t>Manutenção dos equipamentos "GPS"</t>
  </si>
  <si>
    <t>Manutenção do sistema de câmeras</t>
  </si>
  <si>
    <t>² computador de bordo, coletor de dados e mão-de-obra</t>
  </si>
  <si>
    <t>³ câmera externa, gravador, monitor e mão-de-obra</t>
  </si>
  <si>
    <t>Custo Mensal com Monitoramento da Frota (R$/mês) ............................................................</t>
  </si>
  <si>
    <t>CUSTO TOTAL MENSAL COM DESPESAS OPERACIONAIS (R$/mês) ........................................................................................................</t>
  </si>
  <si>
    <t>4. Benefícios e Despesas Indiretas - BDI</t>
  </si>
  <si>
    <t>Administração geral</t>
  </si>
  <si>
    <t>Riscos</t>
  </si>
  <si>
    <t>Lucro</t>
  </si>
  <si>
    <t>Impostos, PIS e CONFINS</t>
  </si>
  <si>
    <t>Impostos ISS</t>
  </si>
  <si>
    <t>Custo Mensal com BDI (R$/mês) .............................................................................................</t>
  </si>
  <si>
    <t>CUSTOS MENSAL TOTAL (R$/mês) ....................................................................................................</t>
  </si>
  <si>
    <t>CUSTOS TOTAIS</t>
  </si>
  <si>
    <t>(A) Total de custos mensais Coleta</t>
  </si>
  <si>
    <t>R$</t>
  </si>
  <si>
    <t>(B) Despesa com Aterro e Destinação Final</t>
  </si>
  <si>
    <t>CUSTO TOTAL MENSAL</t>
  </si>
  <si>
    <t>Grupo A</t>
  </si>
  <si>
    <t>INSS</t>
  </si>
  <si>
    <t>FGTS</t>
  </si>
  <si>
    <t>Seg. Acid. Trabalho</t>
  </si>
  <si>
    <t>Salário Educação</t>
  </si>
  <si>
    <t>Sebrae</t>
  </si>
  <si>
    <t>Sesi/Sesc/DPC/Faer</t>
  </si>
  <si>
    <t>Senai/Senac/DPC/Faer</t>
  </si>
  <si>
    <t>Incra</t>
  </si>
  <si>
    <t>Sub-total</t>
  </si>
  <si>
    <t>Grupo B</t>
  </si>
  <si>
    <t>Férias</t>
  </si>
  <si>
    <t>Aviso Prévio</t>
  </si>
  <si>
    <t>Auxílio Doença</t>
  </si>
  <si>
    <t>Grupo C</t>
  </si>
  <si>
    <t>13° Salário</t>
  </si>
  <si>
    <t>50% FGTS (rescisões)</t>
  </si>
  <si>
    <t>Incidência cumulativa</t>
  </si>
  <si>
    <t>Grupo A sobre Grupo B</t>
  </si>
  <si>
    <t>FGTS sobre  Aviso Prévio</t>
  </si>
  <si>
    <t>Total para Encargos Sociais</t>
  </si>
  <si>
    <t>Despesas financeiras</t>
  </si>
  <si>
    <t>Seguros e garantias</t>
  </si>
  <si>
    <t>Caminhão Basculante – 1 vezao mês – interior</t>
  </si>
  <si>
    <t>IPVA -Caminhão Basculante – 1 vezao mês – interior</t>
  </si>
  <si>
    <t>Caminhão Basculante – Caminhão Basculante – 1 vezao mês – interior</t>
  </si>
  <si>
    <t>Caminhão Basculante –  Caminhão Basculante – 1 vezao mês – interior</t>
  </si>
  <si>
    <t>Custo dos veículos coletores - Caminhão Basculante – 1 vez ao mês – interior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</si>
</sst>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&quot;R$ &quot;#,##0.00"/>
    <numFmt numFmtId="172" formatCode="&quot;R$ &quot;#,##0.00_);&quot;(R$ &quot;#,##0.00\)"/>
    <numFmt numFmtId="173" formatCode="_(* #,##0_);_(* \(#,##0\);_(* \-??_);_(@_)"/>
    <numFmt numFmtId="174" formatCode="_(* #,##0.000_);_(* \(#,##0.000\);_(* \-??_);_(@_)"/>
    <numFmt numFmtId="175" formatCode="_(* #,##0.00000_);_(* \(#,##0.00000\);_(* \-??_);_(@_)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0" fontId="0" fillId="0" borderId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0" fontId="0" fillId="0" borderId="0" xfId="62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0" fontId="0" fillId="0" borderId="0" xfId="62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0" fontId="3" fillId="0" borderId="0" xfId="62" applyFont="1" applyFill="1" applyBorder="1" applyAlignment="1" applyProtection="1">
      <alignment vertical="center"/>
      <protection/>
    </xf>
    <xf numFmtId="170" fontId="4" fillId="0" borderId="11" xfId="62" applyFont="1" applyFill="1" applyBorder="1" applyAlignment="1" applyProtection="1">
      <alignment horizontal="center" vertical="center"/>
      <protection/>
    </xf>
    <xf numFmtId="170" fontId="0" fillId="0" borderId="12" xfId="62" applyFont="1" applyFill="1" applyBorder="1" applyAlignment="1" applyProtection="1">
      <alignment vertical="center"/>
      <protection/>
    </xf>
    <xf numFmtId="170" fontId="0" fillId="0" borderId="13" xfId="62" applyFont="1" applyFill="1" applyBorder="1" applyAlignment="1" applyProtection="1">
      <alignment vertical="center"/>
      <protection/>
    </xf>
    <xf numFmtId="170" fontId="4" fillId="0" borderId="14" xfId="62" applyFont="1" applyFill="1" applyBorder="1" applyAlignment="1" applyProtection="1">
      <alignment horizontal="center" vertical="center"/>
      <protection/>
    </xf>
    <xf numFmtId="170" fontId="0" fillId="0" borderId="15" xfId="62" applyFont="1" applyFill="1" applyBorder="1" applyAlignment="1" applyProtection="1">
      <alignment vertical="center"/>
      <protection/>
    </xf>
    <xf numFmtId="170" fontId="0" fillId="0" borderId="16" xfId="0" applyNumberFormat="1" applyBorder="1" applyAlignment="1">
      <alignment vertical="center"/>
    </xf>
    <xf numFmtId="170" fontId="0" fillId="0" borderId="16" xfId="62" applyFont="1" applyFill="1" applyBorder="1" applyAlignment="1" applyProtection="1">
      <alignment vertical="center"/>
      <protection/>
    </xf>
    <xf numFmtId="10" fontId="0" fillId="0" borderId="17" xfId="51" applyNumberFormat="1" applyFont="1" applyFill="1" applyBorder="1" applyAlignment="1" applyProtection="1">
      <alignment vertical="center"/>
      <protection/>
    </xf>
    <xf numFmtId="170" fontId="0" fillId="0" borderId="15" xfId="62" applyFont="1" applyFill="1" applyBorder="1" applyAlignment="1" applyProtection="1">
      <alignment horizontal="left" vertical="center"/>
      <protection/>
    </xf>
    <xf numFmtId="4" fontId="0" fillId="0" borderId="16" xfId="0" applyNumberFormat="1" applyBorder="1" applyAlignment="1">
      <alignment horizontal="center" vertical="center"/>
    </xf>
    <xf numFmtId="170" fontId="4" fillId="0" borderId="18" xfId="62" applyFont="1" applyFill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>
      <alignment horizontal="center" vertical="center"/>
    </xf>
    <xf numFmtId="170" fontId="4" fillId="0" borderId="19" xfId="62" applyFont="1" applyFill="1" applyBorder="1" applyAlignment="1" applyProtection="1">
      <alignment vertical="center"/>
      <protection/>
    </xf>
    <xf numFmtId="10" fontId="4" fillId="0" borderId="20" xfId="51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70" fontId="0" fillId="33" borderId="0" xfId="62" applyFont="1" applyFill="1" applyBorder="1" applyAlignment="1" applyProtection="1">
      <alignment vertical="center"/>
      <protection/>
    </xf>
    <xf numFmtId="170" fontId="4" fillId="0" borderId="21" xfId="62" applyFont="1" applyFill="1" applyBorder="1" applyAlignment="1" applyProtection="1">
      <alignment horizontal="right" vertical="center"/>
      <protection/>
    </xf>
    <xf numFmtId="170" fontId="0" fillId="0" borderId="11" xfId="62" applyFont="1" applyFill="1" applyBorder="1" applyAlignment="1" applyProtection="1">
      <alignment vertical="center"/>
      <protection/>
    </xf>
    <xf numFmtId="170" fontId="0" fillId="0" borderId="12" xfId="62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1" fontId="0" fillId="0" borderId="14" xfId="62" applyNumberFormat="1" applyFont="1" applyFill="1" applyBorder="1" applyAlignment="1" applyProtection="1">
      <alignment horizontal="center" vertical="center"/>
      <protection/>
    </xf>
    <xf numFmtId="170" fontId="5" fillId="0" borderId="15" xfId="62" applyFont="1" applyFill="1" applyBorder="1" applyAlignment="1" applyProtection="1">
      <alignment vertical="center"/>
      <protection/>
    </xf>
    <xf numFmtId="170" fontId="0" fillId="0" borderId="16" xfId="62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1" fontId="0" fillId="0" borderId="22" xfId="62" applyNumberFormat="1" applyFont="1" applyFill="1" applyBorder="1" applyAlignment="1" applyProtection="1">
      <alignment horizontal="center" vertical="center"/>
      <protection/>
    </xf>
    <xf numFmtId="170" fontId="0" fillId="0" borderId="15" xfId="62" applyFont="1" applyFill="1" applyBorder="1" applyAlignment="1" applyProtection="1">
      <alignment vertical="center"/>
      <protection/>
    </xf>
    <xf numFmtId="170" fontId="5" fillId="0" borderId="16" xfId="62" applyFont="1" applyFill="1" applyBorder="1" applyAlignment="1" applyProtection="1">
      <alignment vertical="center"/>
      <protection/>
    </xf>
    <xf numFmtId="170" fontId="0" fillId="0" borderId="23" xfId="62" applyFont="1" applyFill="1" applyBorder="1" applyAlignment="1" applyProtection="1">
      <alignment vertical="center"/>
      <protection/>
    </xf>
    <xf numFmtId="170" fontId="0" fillId="0" borderId="24" xfId="62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1" fontId="0" fillId="0" borderId="25" xfId="62" applyNumberFormat="1" applyFont="1" applyFill="1" applyBorder="1" applyAlignment="1" applyProtection="1">
      <alignment horizontal="center" vertical="center"/>
      <protection/>
    </xf>
    <xf numFmtId="170" fontId="4" fillId="0" borderId="26" xfId="62" applyFont="1" applyFill="1" applyBorder="1" applyAlignment="1" applyProtection="1">
      <alignment vertical="center"/>
      <protection/>
    </xf>
    <xf numFmtId="4" fontId="4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" fontId="4" fillId="0" borderId="28" xfId="62" applyNumberFormat="1" applyFont="1" applyFill="1" applyBorder="1" applyAlignment="1" applyProtection="1">
      <alignment horizontal="center" vertical="center"/>
      <protection/>
    </xf>
    <xf numFmtId="170" fontId="4" fillId="0" borderId="0" xfId="62" applyFont="1" applyFill="1" applyBorder="1" applyAlignment="1" applyProtection="1">
      <alignment vertical="center"/>
      <protection/>
    </xf>
    <xf numFmtId="4" fontId="4" fillId="0" borderId="0" xfId="0" applyNumberFormat="1" applyFont="1" applyAlignment="1">
      <alignment vertical="center"/>
    </xf>
    <xf numFmtId="170" fontId="0" fillId="34" borderId="15" xfId="62" applyFont="1" applyFill="1" applyBorder="1" applyAlignment="1" applyProtection="1">
      <alignment vertical="center"/>
      <protection/>
    </xf>
    <xf numFmtId="170" fontId="0" fillId="34" borderId="16" xfId="62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>
      <alignment vertical="center"/>
    </xf>
    <xf numFmtId="1" fontId="0" fillId="34" borderId="22" xfId="62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6" xfId="0" applyFont="1" applyBorder="1" applyAlignment="1">
      <alignment vertical="center"/>
    </xf>
    <xf numFmtId="173" fontId="0" fillId="0" borderId="0" xfId="0" applyNumberFormat="1" applyFont="1" applyAlignment="1">
      <alignment vertical="center"/>
    </xf>
    <xf numFmtId="170" fontId="5" fillId="0" borderId="29" xfId="62" applyFont="1" applyFill="1" applyBorder="1" applyAlignment="1" applyProtection="1">
      <alignment vertical="center"/>
      <protection/>
    </xf>
    <xf numFmtId="170" fontId="0" fillId="0" borderId="30" xfId="62" applyFont="1" applyFill="1" applyBorder="1" applyAlignment="1" applyProtection="1">
      <alignment vertical="center"/>
      <protection/>
    </xf>
    <xf numFmtId="0" fontId="0" fillId="0" borderId="30" xfId="0" applyFont="1" applyBorder="1" applyAlignment="1">
      <alignment vertical="center"/>
    </xf>
    <xf numFmtId="1" fontId="0" fillId="0" borderId="31" xfId="62" applyNumberFormat="1" applyFont="1" applyFill="1" applyBorder="1" applyAlignment="1" applyProtection="1">
      <alignment horizontal="center" vertical="center"/>
      <protection/>
    </xf>
    <xf numFmtId="170" fontId="0" fillId="0" borderId="29" xfId="62" applyFont="1" applyFill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3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170" fontId="0" fillId="33" borderId="0" xfId="62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170" fontId="6" fillId="35" borderId="33" xfId="62" applyFont="1" applyFill="1" applyBorder="1" applyAlignment="1" applyProtection="1">
      <alignment horizontal="center" vertical="center"/>
      <protection/>
    </xf>
    <xf numFmtId="170" fontId="6" fillId="35" borderId="34" xfId="62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70" fontId="0" fillId="0" borderId="35" xfId="62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170" fontId="0" fillId="0" borderId="36" xfId="62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0" fontId="0" fillId="0" borderId="0" xfId="62" applyFont="1" applyFill="1" applyBorder="1" applyAlignment="1" applyProtection="1">
      <alignment horizontal="center" vertical="center"/>
      <protection/>
    </xf>
    <xf numFmtId="170" fontId="0" fillId="0" borderId="37" xfId="62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170" fontId="4" fillId="35" borderId="38" xfId="62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70" fontId="0" fillId="0" borderId="16" xfId="62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173" fontId="0" fillId="0" borderId="36" xfId="62" applyNumberFormat="1" applyFont="1" applyFill="1" applyBorder="1" applyAlignment="1" applyProtection="1">
      <alignment vertical="center"/>
      <protection/>
    </xf>
    <xf numFmtId="173" fontId="0" fillId="0" borderId="35" xfId="62" applyNumberFormat="1" applyFont="1" applyFill="1" applyBorder="1" applyAlignment="1" applyProtection="1">
      <alignment vertical="center"/>
      <protection/>
    </xf>
    <xf numFmtId="170" fontId="4" fillId="35" borderId="38" xfId="62" applyFont="1" applyFill="1" applyBorder="1" applyAlignment="1" applyProtection="1">
      <alignment vertical="center"/>
      <protection/>
    </xf>
    <xf numFmtId="170" fontId="0" fillId="0" borderId="36" xfId="62" applyNumberFormat="1" applyFont="1" applyFill="1" applyBorder="1" applyAlignment="1" applyProtection="1">
      <alignment horizontal="center" vertical="center"/>
      <protection/>
    </xf>
    <xf numFmtId="170" fontId="0" fillId="0" borderId="36" xfId="62" applyFont="1" applyFill="1" applyBorder="1" applyAlignment="1" applyProtection="1">
      <alignment vertical="center"/>
      <protection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0" fontId="4" fillId="0" borderId="20" xfId="62" applyFont="1" applyFill="1" applyBorder="1" applyAlignment="1" applyProtection="1">
      <alignment vertical="center"/>
      <protection/>
    </xf>
    <xf numFmtId="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170" fontId="0" fillId="0" borderId="0" xfId="6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3" fontId="0" fillId="0" borderId="3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70" fontId="0" fillId="0" borderId="19" xfId="62" applyFont="1" applyFill="1" applyBorder="1" applyAlignment="1" applyProtection="1">
      <alignment vertical="center"/>
      <protection/>
    </xf>
    <xf numFmtId="170" fontId="0" fillId="0" borderId="20" xfId="62" applyFont="1" applyFill="1" applyBorder="1" applyAlignment="1" applyProtection="1">
      <alignment vertical="center"/>
      <protection/>
    </xf>
    <xf numFmtId="0" fontId="4" fillId="0" borderId="35" xfId="0" applyFont="1" applyBorder="1" applyAlignment="1">
      <alignment vertical="center"/>
    </xf>
    <xf numFmtId="170" fontId="0" fillId="34" borderId="35" xfId="62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170" fontId="0" fillId="0" borderId="30" xfId="62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0" fontId="0" fillId="34" borderId="38" xfId="0" applyFont="1" applyFill="1" applyBorder="1" applyAlignment="1">
      <alignment horizontal="center" vertical="center"/>
    </xf>
    <xf numFmtId="170" fontId="0" fillId="0" borderId="38" xfId="62" applyFont="1" applyFill="1" applyBorder="1" applyAlignment="1" applyProtection="1">
      <alignment horizontal="center" vertical="center"/>
      <protection/>
    </xf>
    <xf numFmtId="10" fontId="0" fillId="0" borderId="36" xfId="0" applyNumberFormat="1" applyFont="1" applyBorder="1" applyAlignment="1">
      <alignment horizontal="center" vertical="center"/>
    </xf>
    <xf numFmtId="170" fontId="0" fillId="34" borderId="36" xfId="62" applyFont="1" applyFill="1" applyBorder="1" applyAlignment="1" applyProtection="1">
      <alignment horizontal="center" vertical="center"/>
      <protection/>
    </xf>
    <xf numFmtId="170" fontId="4" fillId="0" borderId="0" xfId="62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0" fontId="6" fillId="0" borderId="33" xfId="62" applyFont="1" applyFill="1" applyBorder="1" applyAlignment="1" applyProtection="1">
      <alignment horizontal="center" vertical="center"/>
      <protection/>
    </xf>
    <xf numFmtId="170" fontId="6" fillId="0" borderId="34" xfId="62" applyFont="1" applyFill="1" applyBorder="1" applyAlignment="1" applyProtection="1">
      <alignment horizontal="center" vertical="center"/>
      <protection/>
    </xf>
    <xf numFmtId="4" fontId="0" fillId="34" borderId="35" xfId="0" applyNumberFormat="1" applyFont="1" applyFill="1" applyBorder="1" applyAlignment="1">
      <alignment horizontal="center" vertical="center"/>
    </xf>
    <xf numFmtId="174" fontId="0" fillId="34" borderId="35" xfId="62" applyNumberFormat="1" applyFont="1" applyFill="1" applyBorder="1" applyAlignment="1" applyProtection="1">
      <alignment horizontal="center" vertical="center"/>
      <protection/>
    </xf>
    <xf numFmtId="3" fontId="0" fillId="34" borderId="36" xfId="0" applyNumberFormat="1" applyFont="1" applyFill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0" fillId="0" borderId="35" xfId="0" applyNumberFormat="1" applyFont="1" applyBorder="1" applyAlignment="1">
      <alignment horizontal="center" vertical="center"/>
    </xf>
    <xf numFmtId="174" fontId="0" fillId="0" borderId="35" xfId="6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35" xfId="0" applyFont="1" applyBorder="1" applyAlignment="1">
      <alignment/>
    </xf>
    <xf numFmtId="0" fontId="5" fillId="0" borderId="36" xfId="0" applyFont="1" applyBorder="1" applyAlignment="1">
      <alignment vertical="center"/>
    </xf>
    <xf numFmtId="174" fontId="0" fillId="0" borderId="36" xfId="62" applyNumberFormat="1" applyFont="1" applyFill="1" applyBorder="1" applyAlignment="1" applyProtection="1">
      <alignment horizontal="center" vertical="center"/>
      <protection/>
    </xf>
    <xf numFmtId="175" fontId="0" fillId="0" borderId="0" xfId="62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12" fontId="0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170" fontId="9" fillId="0" borderId="36" xfId="62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170" fontId="4" fillId="35" borderId="38" xfId="62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170" fontId="0" fillId="0" borderId="38" xfId="62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170" fontId="1" fillId="0" borderId="40" xfId="62" applyFont="1" applyFill="1" applyBorder="1" applyAlignment="1" applyProtection="1">
      <alignment vertical="center"/>
      <protection/>
    </xf>
    <xf numFmtId="0" fontId="1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0" fontId="1" fillId="0" borderId="0" xfId="62" applyFont="1" applyFill="1" applyBorder="1" applyAlignment="1" applyProtection="1">
      <alignment vertical="center"/>
      <protection/>
    </xf>
    <xf numFmtId="170" fontId="1" fillId="0" borderId="42" xfId="62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>
      <alignment horizontal="right" vertical="center"/>
    </xf>
    <xf numFmtId="170" fontId="1" fillId="34" borderId="42" xfId="62" applyFont="1" applyFill="1" applyBorder="1" applyAlignment="1" applyProtection="1">
      <alignment vertical="center"/>
      <protection/>
    </xf>
    <xf numFmtId="0" fontId="2" fillId="0" borderId="41" xfId="0" applyFont="1" applyBorder="1" applyAlignment="1">
      <alignment vertical="center"/>
    </xf>
    <xf numFmtId="0" fontId="13" fillId="34" borderId="10" xfId="0" applyFont="1" applyFill="1" applyBorder="1" applyAlignment="1">
      <alignment horizontal="right" vertical="center"/>
    </xf>
    <xf numFmtId="170" fontId="13" fillId="34" borderId="43" xfId="62" applyFont="1" applyFill="1" applyBorder="1" applyAlignment="1" applyProtection="1">
      <alignment horizontal="center" vertical="center"/>
      <protection/>
    </xf>
    <xf numFmtId="10" fontId="4" fillId="0" borderId="0" xfId="51" applyNumberFormat="1" applyFont="1" applyFill="1" applyBorder="1" applyAlignment="1" applyProtection="1">
      <alignment vertical="center"/>
      <protection/>
    </xf>
    <xf numFmtId="170" fontId="14" fillId="0" borderId="0" xfId="62" applyFont="1" applyFill="1" applyBorder="1" applyAlignment="1" applyProtection="1">
      <alignment vertical="center"/>
      <protection/>
    </xf>
    <xf numFmtId="9" fontId="14" fillId="0" borderId="0" xfId="51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10" fontId="0" fillId="0" borderId="36" xfId="51" applyNumberFormat="1" applyFont="1" applyFill="1" applyBorder="1" applyAlignment="1" applyProtection="1">
      <alignment vertical="center"/>
      <protection/>
    </xf>
    <xf numFmtId="170" fontId="4" fillId="0" borderId="36" xfId="62" applyFont="1" applyFill="1" applyBorder="1" applyAlignment="1" applyProtection="1">
      <alignment vertical="center"/>
      <protection/>
    </xf>
    <xf numFmtId="10" fontId="4" fillId="0" borderId="36" xfId="51" applyNumberFormat="1" applyFont="1" applyFill="1" applyBorder="1" applyAlignment="1" applyProtection="1">
      <alignment vertical="center"/>
      <protection/>
    </xf>
    <xf numFmtId="10" fontId="14" fillId="0" borderId="0" xfId="51" applyNumberFormat="1" applyFont="1" applyFill="1" applyBorder="1" applyAlignment="1" applyProtection="1">
      <alignment vertical="center"/>
      <protection/>
    </xf>
    <xf numFmtId="170" fontId="0" fillId="0" borderId="35" xfId="62" applyBorder="1" applyAlignment="1">
      <alignment horizontal="center" vertical="center"/>
    </xf>
    <xf numFmtId="170" fontId="0" fillId="0" borderId="36" xfId="62" applyBorder="1" applyAlignment="1">
      <alignment horizontal="center" vertical="center"/>
    </xf>
    <xf numFmtId="170" fontId="4" fillId="0" borderId="20" xfId="62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171" fontId="0" fillId="0" borderId="36" xfId="0" applyNumberFormat="1" applyBorder="1" applyAlignment="1">
      <alignment horizontal="right" vertical="center"/>
    </xf>
    <xf numFmtId="172" fontId="4" fillId="0" borderId="33" xfId="0" applyNumberFormat="1" applyFont="1" applyBorder="1" applyAlignment="1">
      <alignment horizontal="right" vertical="center"/>
    </xf>
    <xf numFmtId="170" fontId="4" fillId="0" borderId="32" xfId="62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0" fontId="4" fillId="0" borderId="47" xfId="62" applyFont="1" applyFill="1" applyBorder="1" applyAlignment="1" applyProtection="1">
      <alignment horizontal="center" vertical="center"/>
      <protection/>
    </xf>
    <xf numFmtId="170" fontId="0" fillId="0" borderId="15" xfId="62" applyFont="1" applyFill="1" applyBorder="1" applyAlignment="1" applyProtection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1"/>
  <sheetViews>
    <sheetView tabSelected="1" view="pageBreakPreview" zoomScaleSheetLayoutView="100" zoomScalePageLayoutView="0" workbookViewId="0" topLeftCell="A1">
      <selection activeCell="A772" sqref="A772"/>
    </sheetView>
  </sheetViews>
  <sheetFormatPr defaultColWidth="9.140625" defaultRowHeight="12.75"/>
  <cols>
    <col min="1" max="1" width="73.00390625" style="1" customWidth="1"/>
    <col min="2" max="2" width="30.00390625" style="1" customWidth="1"/>
    <col min="3" max="3" width="11.57421875" style="1" customWidth="1"/>
    <col min="4" max="4" width="14.7109375" style="2" customWidth="1"/>
    <col min="5" max="5" width="15.140625" style="2" customWidth="1"/>
    <col min="6" max="6" width="13.28125" style="2" customWidth="1"/>
    <col min="7" max="16384" width="9.140625" style="1" customWidth="1"/>
  </cols>
  <sheetData>
    <row r="1" spans="1:6" s="6" customFormat="1" ht="12.75" customHeight="1">
      <c r="A1" s="3"/>
      <c r="B1" s="4"/>
      <c r="C1" s="4"/>
      <c r="D1" s="5"/>
      <c r="E1" s="5"/>
      <c r="F1" s="5"/>
    </row>
    <row r="2" spans="1:6" s="6" customFormat="1" ht="12.75" customHeight="1">
      <c r="A2" s="7"/>
      <c r="B2" s="4"/>
      <c r="C2" s="4"/>
      <c r="D2" s="5"/>
      <c r="E2" s="5"/>
      <c r="F2" s="5"/>
    </row>
    <row r="3" spans="1:6" s="6" customFormat="1" ht="15" customHeight="1">
      <c r="A3" s="8"/>
      <c r="B3" s="9"/>
      <c r="C3" s="9"/>
      <c r="D3" s="9"/>
      <c r="E3" s="9"/>
      <c r="F3" s="9"/>
    </row>
    <row r="4" spans="1:6" s="6" customFormat="1" ht="6.75" customHeight="1">
      <c r="A4" s="7"/>
      <c r="B4" s="4"/>
      <c r="C4" s="4"/>
      <c r="D4" s="5"/>
      <c r="E4" s="5"/>
      <c r="F4" s="5"/>
    </row>
    <row r="5" spans="1:6" s="10" customFormat="1" ht="13.5" customHeight="1">
      <c r="A5" s="190" t="s">
        <v>0</v>
      </c>
      <c r="B5" s="190"/>
      <c r="C5" s="190"/>
      <c r="D5" s="190"/>
      <c r="E5" s="190"/>
      <c r="F5" s="190"/>
    </row>
    <row r="6" spans="1:6" s="10" customFormat="1" ht="18" customHeight="1">
      <c r="A6" s="191" t="s">
        <v>1</v>
      </c>
      <c r="B6" s="191"/>
      <c r="C6" s="191"/>
      <c r="D6" s="191"/>
      <c r="E6" s="191"/>
      <c r="F6" s="191"/>
    </row>
    <row r="7" spans="1:6" s="6" customFormat="1" ht="10.5" customHeight="1">
      <c r="A7" s="11"/>
      <c r="B7" s="12"/>
      <c r="C7" s="12"/>
      <c r="D7" s="5"/>
      <c r="E7" s="5"/>
      <c r="F7" s="5"/>
    </row>
    <row r="8" spans="1:6" s="6" customFormat="1" ht="15.75" customHeight="1">
      <c r="A8" s="13" t="s">
        <v>2</v>
      </c>
      <c r="B8" s="5"/>
      <c r="C8" s="5"/>
      <c r="D8" s="5"/>
      <c r="E8" s="5"/>
      <c r="F8" s="5"/>
    </row>
    <row r="9" spans="1:6" s="6" customFormat="1" ht="15.75" customHeight="1">
      <c r="A9" s="14" t="s">
        <v>3</v>
      </c>
      <c r="B9" s="15"/>
      <c r="C9" s="16"/>
      <c r="D9" s="192" t="s">
        <v>4</v>
      </c>
      <c r="E9" s="192"/>
      <c r="F9" s="17" t="s">
        <v>5</v>
      </c>
    </row>
    <row r="10" spans="1:6" s="6" customFormat="1" ht="15.75" customHeight="1">
      <c r="A10" s="18" t="str">
        <f>+A54</f>
        <v>1. Mão de obra</v>
      </c>
      <c r="B10" s="19"/>
      <c r="C10" s="20"/>
      <c r="D10" s="187">
        <f>+F259</f>
        <v>20918.715466399997</v>
      </c>
      <c r="E10" s="187"/>
      <c r="F10" s="21">
        <f aca="true" t="shared" si="0" ref="F10:F15">+D10/F$766</f>
        <v>0.5798760005968076</v>
      </c>
    </row>
    <row r="11" spans="1:6" s="6" customFormat="1" ht="15.75" customHeight="1">
      <c r="A11" s="193" t="str">
        <f>+A261</f>
        <v>2. Uniformes e Equipamentos de Proteção Individual</v>
      </c>
      <c r="B11" s="193"/>
      <c r="C11" s="193"/>
      <c r="D11" s="187">
        <f>+F297</f>
        <v>975</v>
      </c>
      <c r="E11" s="187"/>
      <c r="F11" s="21">
        <f t="shared" si="0"/>
        <v>0.027027429169348808</v>
      </c>
    </row>
    <row r="12" spans="1:6" s="6" customFormat="1" ht="15.75" customHeight="1">
      <c r="A12" s="22" t="str">
        <f>+A299</f>
        <v>3. Veículos e Equipamentos</v>
      </c>
      <c r="B12" s="23"/>
      <c r="C12" s="20"/>
      <c r="D12" s="187">
        <f>+F722</f>
        <v>7687.640202701324</v>
      </c>
      <c r="E12" s="187"/>
      <c r="F12" s="21">
        <f t="shared" si="0"/>
        <v>0.21310477031584443</v>
      </c>
    </row>
    <row r="13" spans="1:6" s="6" customFormat="1" ht="15.75" customHeight="1" hidden="1">
      <c r="A13" s="22" t="str">
        <f>+A724</f>
        <v>4. Ferramentas e Materiais de Consumo</v>
      </c>
      <c r="B13" s="23"/>
      <c r="C13" s="20"/>
      <c r="D13" s="187">
        <f>+F735</f>
        <v>0</v>
      </c>
      <c r="E13" s="187"/>
      <c r="F13" s="21">
        <f t="shared" si="0"/>
        <v>0</v>
      </c>
    </row>
    <row r="14" spans="1:6" s="6" customFormat="1" ht="15.75" customHeight="1" hidden="1">
      <c r="A14" s="22" t="str">
        <f>+A737</f>
        <v>5. Monitoramento da Frota</v>
      </c>
      <c r="B14" s="23"/>
      <c r="C14" s="20"/>
      <c r="D14" s="187">
        <f>+F749</f>
        <v>0</v>
      </c>
      <c r="E14" s="187"/>
      <c r="F14" s="21">
        <f t="shared" si="0"/>
        <v>0</v>
      </c>
    </row>
    <row r="15" spans="1:6" s="6" customFormat="1" ht="15.75" customHeight="1">
      <c r="A15" s="22" t="str">
        <f>+A753</f>
        <v>4. Benefícios e Despesas Indiretas - BDI</v>
      </c>
      <c r="B15" s="23"/>
      <c r="C15" s="20"/>
      <c r="D15" s="187">
        <f>+F764</f>
        <v>6493.10756936774</v>
      </c>
      <c r="E15" s="187"/>
      <c r="F15" s="21">
        <f t="shared" si="0"/>
        <v>0.17999179991799918</v>
      </c>
    </row>
    <row r="16" spans="1:6" s="6" customFormat="1" ht="15.75" customHeight="1">
      <c r="A16" s="24" t="s">
        <v>6</v>
      </c>
      <c r="B16" s="25"/>
      <c r="C16" s="26"/>
      <c r="D16" s="188">
        <f>SUM(D10:E15)</f>
        <v>36074.46323846906</v>
      </c>
      <c r="E16" s="188"/>
      <c r="F16" s="27">
        <f>SUM(F10:F15)</f>
        <v>1</v>
      </c>
    </row>
    <row r="17" ht="6.75" customHeight="1"/>
    <row r="18" spans="1:6" s="6" customFormat="1" ht="7.5" customHeight="1">
      <c r="A18" s="28"/>
      <c r="B18" s="29"/>
      <c r="C18" s="29"/>
      <c r="D18" s="30"/>
      <c r="E18" s="30"/>
      <c r="F18" s="30"/>
    </row>
    <row r="19" ht="6" customHeight="1"/>
    <row r="20" spans="1:6" s="6" customFormat="1" ht="15" customHeight="1">
      <c r="A20" s="13" t="s">
        <v>7</v>
      </c>
      <c r="B20" s="2"/>
      <c r="C20" s="2"/>
      <c r="D20" s="2"/>
      <c r="E20" s="2"/>
      <c r="F20" s="2"/>
    </row>
    <row r="21" spans="1:6" s="6" customFormat="1" ht="15" customHeight="1">
      <c r="A21" s="189" t="s">
        <v>8</v>
      </c>
      <c r="B21" s="189"/>
      <c r="C21" s="189"/>
      <c r="D21" s="189"/>
      <c r="E21" s="31" t="s">
        <v>9</v>
      </c>
      <c r="F21" s="2"/>
    </row>
    <row r="22" spans="1:6" s="6" customFormat="1" ht="15" customHeight="1">
      <c r="A22" s="32" t="str">
        <f>+A56</f>
        <v>1.1. Coletor (Coleta domiciliar e coleta de resíduos públicos)</v>
      </c>
      <c r="B22" s="33"/>
      <c r="C22" s="33"/>
      <c r="D22" s="34"/>
      <c r="E22" s="35">
        <v>3</v>
      </c>
      <c r="F22" s="2"/>
    </row>
    <row r="23" spans="1:6" s="6" customFormat="1" ht="15" customHeight="1" hidden="1">
      <c r="A23" s="36" t="str">
        <f>+A70</f>
        <v>1.2. Coletor Turno da Intermediária (Coleta domiciliar e coleta de resíduos públicos)</v>
      </c>
      <c r="B23" s="37"/>
      <c r="C23" s="37"/>
      <c r="D23" s="38"/>
      <c r="E23" s="39">
        <f>+C79</f>
        <v>0</v>
      </c>
      <c r="F23" s="2"/>
    </row>
    <row r="24" spans="1:6" s="6" customFormat="1" ht="15" customHeight="1" hidden="1">
      <c r="A24" s="40" t="str">
        <f>+A82</f>
        <v>1.3. Coletor Turno da Madrugada (Coleta de resíduos públicos)</v>
      </c>
      <c r="B24" s="37"/>
      <c r="C24" s="37"/>
      <c r="D24" s="38"/>
      <c r="E24" s="39">
        <f>+C91</f>
        <v>0</v>
      </c>
      <c r="F24" s="2"/>
    </row>
    <row r="25" spans="1:6" s="6" customFormat="1" ht="15" customHeight="1">
      <c r="A25" s="40" t="str">
        <f>+A94</f>
        <v>1.2. Motorista (Coleta domiciliar e coleta de resíduos públicos)</v>
      </c>
      <c r="B25" s="37"/>
      <c r="C25" s="37"/>
      <c r="D25" s="38"/>
      <c r="E25" s="39">
        <f>+C103</f>
        <v>1</v>
      </c>
      <c r="F25" s="2"/>
    </row>
    <row r="26" spans="1:6" s="6" customFormat="1" ht="15" customHeight="1" hidden="1">
      <c r="A26" s="36" t="str">
        <f>+A109</f>
        <v>1.5. Motorista Turno da Intermediária (Coleta domiciliar e coleta de resíduos públicos)</v>
      </c>
      <c r="B26" s="37"/>
      <c r="C26" s="37"/>
      <c r="D26" s="38"/>
      <c r="E26" s="39">
        <f>+C118</f>
        <v>0</v>
      </c>
      <c r="F26" s="2"/>
    </row>
    <row r="27" spans="1:6" s="6" customFormat="1" ht="15" customHeight="1" hidden="1">
      <c r="A27" s="40" t="str">
        <f>+A121</f>
        <v>1.6. Motorista Turno da Madrugada (Coleta de resíduos públicos)</v>
      </c>
      <c r="B27" s="37"/>
      <c r="C27" s="37"/>
      <c r="D27" s="38"/>
      <c r="E27" s="39">
        <f>+C130</f>
        <v>0</v>
      </c>
      <c r="F27" s="2"/>
    </row>
    <row r="28" spans="1:6" s="6" customFormat="1" ht="15" customHeight="1" hidden="1">
      <c r="A28" s="40" t="str">
        <f>+A133</f>
        <v>1.7. Fiscal Turno do Dia</v>
      </c>
      <c r="B28" s="37"/>
      <c r="C28" s="37"/>
      <c r="D28" s="38"/>
      <c r="E28" s="39">
        <f>+C142</f>
        <v>0</v>
      </c>
      <c r="F28" s="2"/>
    </row>
    <row r="29" spans="1:6" s="6" customFormat="1" ht="15" customHeight="1" hidden="1">
      <c r="A29" s="40" t="str">
        <f>+A145</f>
        <v>1.8. Fiscal Turno da Noite</v>
      </c>
      <c r="B29" s="37"/>
      <c r="C29" s="37"/>
      <c r="D29" s="38"/>
      <c r="E29" s="39">
        <f>+C155</f>
        <v>0</v>
      </c>
      <c r="F29" s="2"/>
    </row>
    <row r="30" spans="1:6" s="6" customFormat="1" ht="15" customHeight="1" hidden="1">
      <c r="A30" s="40" t="str">
        <f>+A158</f>
        <v>1.9. Supervisor Turno do Dia</v>
      </c>
      <c r="B30" s="37"/>
      <c r="C30" s="37"/>
      <c r="D30" s="38"/>
      <c r="E30" s="39">
        <f>+C166</f>
        <v>0</v>
      </c>
      <c r="F30" s="2"/>
    </row>
    <row r="31" spans="1:6" s="6" customFormat="1" ht="15" customHeight="1" hidden="1">
      <c r="A31" s="40" t="str">
        <f>+A169</f>
        <v>1.10. Supervisor Turno da Noite</v>
      </c>
      <c r="B31" s="37"/>
      <c r="C31" s="37"/>
      <c r="D31" s="38"/>
      <c r="E31" s="39">
        <f>+C178</f>
        <v>0</v>
      </c>
      <c r="F31" s="2"/>
    </row>
    <row r="32" spans="1:6" s="6" customFormat="1" ht="15" customHeight="1" hidden="1">
      <c r="A32" s="40" t="str">
        <f>+A181</f>
        <v>1.11. Técnico em Segurança do Trabalho Turno do Dia</v>
      </c>
      <c r="B32" s="37"/>
      <c r="C32" s="37"/>
      <c r="D32" s="38"/>
      <c r="E32" s="39">
        <f>+C190</f>
        <v>0</v>
      </c>
      <c r="F32" s="2"/>
    </row>
    <row r="33" spans="1:6" s="6" customFormat="1" ht="15" customHeight="1" hidden="1">
      <c r="A33" s="40" t="str">
        <f>+A193</f>
        <v>1.12. Técnico em Segurança do Trabalho Turno da Noite</v>
      </c>
      <c r="B33" s="37"/>
      <c r="C33" s="37"/>
      <c r="D33" s="38"/>
      <c r="E33" s="39">
        <f>+C203</f>
        <v>0</v>
      </c>
      <c r="F33" s="2"/>
    </row>
    <row r="34" spans="1:6" s="6" customFormat="1" ht="15" customHeight="1" hidden="1">
      <c r="A34" s="40" t="str">
        <f>+A206</f>
        <v>1.13. Auxiliar Operacional Turno do Dia</v>
      </c>
      <c r="B34" s="37"/>
      <c r="C34" s="37"/>
      <c r="D34" s="38"/>
      <c r="E34" s="39">
        <f>+C214</f>
        <v>0</v>
      </c>
      <c r="F34" s="2"/>
    </row>
    <row r="35" spans="1:6" s="6" customFormat="1" ht="15" customHeight="1" hidden="1">
      <c r="A35" s="40" t="str">
        <f>+A217</f>
        <v>1.14. Auxiliar Operacional Turno da Noite</v>
      </c>
      <c r="B35" s="37"/>
      <c r="C35" s="37"/>
      <c r="D35" s="38"/>
      <c r="E35" s="39">
        <f>+C226</f>
        <v>0</v>
      </c>
      <c r="F35" s="2"/>
    </row>
    <row r="36" spans="1:6" s="6" customFormat="1" ht="15" customHeight="1" hidden="1">
      <c r="A36" s="36" t="str">
        <f>+A229</f>
        <v>1.15. Outras especialidades (SESMT)</v>
      </c>
      <c r="B36" s="41" t="str">
        <f>+A231</f>
        <v>Engenheiro de Segurança do Trabalho</v>
      </c>
      <c r="C36" s="41"/>
      <c r="D36" s="38"/>
      <c r="E36" s="39">
        <f>+C231</f>
        <v>0</v>
      </c>
      <c r="F36" s="2"/>
    </row>
    <row r="37" spans="1:6" s="6" customFormat="1" ht="15" customHeight="1" hidden="1">
      <c r="A37" s="36" t="str">
        <f>+A36</f>
        <v>1.15. Outras especialidades (SESMT)</v>
      </c>
      <c r="B37" s="41" t="str">
        <f>+A232</f>
        <v>Médico do Trabalho</v>
      </c>
      <c r="C37" s="41"/>
      <c r="D37" s="38"/>
      <c r="E37" s="39">
        <f>+C232</f>
        <v>0</v>
      </c>
      <c r="F37" s="2"/>
    </row>
    <row r="38" spans="1:6" s="6" customFormat="1" ht="15" customHeight="1" hidden="1">
      <c r="A38" s="42" t="str">
        <f>+A235</f>
        <v>1.3. Gerente</v>
      </c>
      <c r="B38" s="43"/>
      <c r="C38" s="43"/>
      <c r="D38" s="44"/>
      <c r="E38" s="45">
        <v>0</v>
      </c>
      <c r="F38" s="2"/>
    </row>
    <row r="39" spans="1:6" s="6" customFormat="1" ht="15" customHeight="1">
      <c r="A39" s="46" t="s">
        <v>10</v>
      </c>
      <c r="B39" s="47"/>
      <c r="C39" s="47"/>
      <c r="D39" s="48"/>
      <c r="E39" s="49">
        <f>SUM(E22:E38)</f>
        <v>4</v>
      </c>
      <c r="F39" s="2"/>
    </row>
    <row r="40" spans="1:6" s="6" customFormat="1" ht="15" customHeight="1">
      <c r="A40" s="50"/>
      <c r="B40" s="51"/>
      <c r="C40" s="2"/>
      <c r="D40" s="2"/>
      <c r="E40" s="2"/>
      <c r="F40" s="2"/>
    </row>
    <row r="41" spans="1:6" s="6" customFormat="1" ht="15" customHeight="1">
      <c r="A41" s="184" t="s">
        <v>11</v>
      </c>
      <c r="B41" s="184"/>
      <c r="C41" s="184"/>
      <c r="D41" s="184"/>
      <c r="E41" s="31" t="s">
        <v>9</v>
      </c>
      <c r="F41" s="1"/>
    </row>
    <row r="42" spans="1:6" s="57" customFormat="1" ht="15" customHeight="1">
      <c r="A42" s="52" t="str">
        <f>+A301</f>
        <v>3.1. Veículo Coletor (Coleta domiciliar)</v>
      </c>
      <c r="B42" s="53"/>
      <c r="C42" s="53"/>
      <c r="D42" s="54"/>
      <c r="E42" s="55">
        <v>3</v>
      </c>
      <c r="F42" s="56"/>
    </row>
    <row r="43" spans="1:6" s="6" customFormat="1" ht="15" customHeight="1" hidden="1">
      <c r="A43" s="40" t="str">
        <f>+A434</f>
        <v>3.2. Veículo Coletor Compactador Truck (Coleta domiciliar)</v>
      </c>
      <c r="B43" s="37"/>
      <c r="C43" s="37"/>
      <c r="D43" s="58"/>
      <c r="E43" s="39">
        <f>+C438</f>
        <v>0</v>
      </c>
      <c r="F43" s="1"/>
    </row>
    <row r="44" spans="1:6" s="6" customFormat="1" ht="15" customHeight="1" hidden="1">
      <c r="A44" s="40" t="str">
        <f>+A492</f>
        <v>3.3. Veículo Compactador com Capacidade entre 5 e 6 m³</v>
      </c>
      <c r="B44" s="37"/>
      <c r="C44" s="37"/>
      <c r="D44" s="58"/>
      <c r="E44" s="39">
        <f>+C496</f>
        <v>0</v>
      </c>
      <c r="F44" s="59"/>
    </row>
    <row r="45" spans="1:6" s="6" customFormat="1" ht="15" customHeight="1" hidden="1">
      <c r="A45" s="36" t="str">
        <f>+A549</f>
        <v>3.4. Veículo de Pequeno Porte (tração 4x4), com caçamba basculante metálica de 4m³</v>
      </c>
      <c r="B45" s="37"/>
      <c r="C45" s="37"/>
      <c r="D45" s="58"/>
      <c r="E45" s="39">
        <f>+C553</f>
        <v>0</v>
      </c>
      <c r="F45" s="1"/>
    </row>
    <row r="46" spans="1:6" s="6" customFormat="1" ht="15" customHeight="1" hidden="1">
      <c r="A46" s="60" t="str">
        <f>+A606</f>
        <v>3.5. Veículo Coletor Compactador Toco (Coleta de resíduos públicos)</v>
      </c>
      <c r="B46" s="61"/>
      <c r="C46" s="61"/>
      <c r="D46" s="62"/>
      <c r="E46" s="63">
        <f>+C610</f>
        <v>0</v>
      </c>
      <c r="F46" s="1"/>
    </row>
    <row r="47" spans="1:6" s="6" customFormat="1" ht="15" customHeight="1" hidden="1">
      <c r="A47" s="64" t="str">
        <f>+A665</f>
        <v>3.6. Veículos e Equipamentos</v>
      </c>
      <c r="B47" s="61" t="str">
        <f>+A668</f>
        <v>Automóvel 5 passageiros</v>
      </c>
      <c r="C47" s="61"/>
      <c r="D47" s="62"/>
      <c r="E47" s="63">
        <f>+C668</f>
        <v>0</v>
      </c>
      <c r="F47" s="1"/>
    </row>
    <row r="48" spans="1:6" s="6" customFormat="1" ht="15" customHeight="1" hidden="1">
      <c r="A48" s="64" t="str">
        <f>+A665</f>
        <v>3.6. Veículos e Equipamentos</v>
      </c>
      <c r="B48" s="61" t="str">
        <f>+A669</f>
        <v>Automóvel utilitário</v>
      </c>
      <c r="C48" s="61"/>
      <c r="D48" s="62"/>
      <c r="E48" s="63">
        <f>+C669</f>
        <v>0</v>
      </c>
      <c r="F48" s="59"/>
    </row>
    <row r="49" spans="1:6" s="6" customFormat="1" ht="15" customHeight="1" hidden="1">
      <c r="A49" s="64" t="str">
        <f>+A674</f>
        <v>3.7. Contêiner em PEAD capacidade 1.000L (um mil litros)</v>
      </c>
      <c r="B49" s="61"/>
      <c r="C49" s="61"/>
      <c r="D49" s="62"/>
      <c r="E49" s="63">
        <f>+C678</f>
        <v>0</v>
      </c>
      <c r="F49" s="59"/>
    </row>
    <row r="50" spans="1:6" s="6" customFormat="1" ht="15" customHeight="1" hidden="1">
      <c r="A50" s="42" t="str">
        <f>+A698</f>
        <v>3.8. Contêiner em PEAD capacidade 360L (trezentos e sessenta litros)</v>
      </c>
      <c r="B50" s="43"/>
      <c r="C50" s="43"/>
      <c r="D50" s="65"/>
      <c r="E50" s="45">
        <f>+C702</f>
        <v>0</v>
      </c>
      <c r="F50" s="59"/>
    </row>
    <row r="51" spans="1:6" s="6" customFormat="1" ht="11.25" customHeight="1">
      <c r="A51" s="2"/>
      <c r="B51" s="2"/>
      <c r="C51" s="2"/>
      <c r="D51" s="66"/>
      <c r="E51" s="67"/>
      <c r="F51" s="1"/>
    </row>
    <row r="52" spans="1:6" s="6" customFormat="1" ht="7.5" customHeight="1">
      <c r="A52" s="68"/>
      <c r="B52" s="69"/>
      <c r="C52" s="69"/>
      <c r="D52" s="70"/>
      <c r="E52" s="70"/>
      <c r="F52" s="70"/>
    </row>
    <row r="53" spans="1:6" s="6" customFormat="1" ht="15.75" customHeight="1">
      <c r="A53" s="2"/>
      <c r="B53" s="2"/>
      <c r="C53" s="2"/>
      <c r="D53" s="66"/>
      <c r="E53" s="67"/>
      <c r="F53" s="1"/>
    </row>
    <row r="54" ht="12.75" customHeight="1">
      <c r="A54" s="71" t="s">
        <v>12</v>
      </c>
    </row>
    <row r="55" ht="11.25" customHeight="1"/>
    <row r="56" ht="13.5" customHeight="1">
      <c r="A56" s="1" t="s">
        <v>13</v>
      </c>
    </row>
    <row r="57" spans="1:6" ht="13.5" customHeight="1">
      <c r="A57" s="72" t="s">
        <v>14</v>
      </c>
      <c r="B57" s="73" t="s">
        <v>15</v>
      </c>
      <c r="C57" s="73" t="s">
        <v>9</v>
      </c>
      <c r="D57" s="74" t="s">
        <v>16</v>
      </c>
      <c r="E57" s="74" t="s">
        <v>17</v>
      </c>
      <c r="F57" s="75" t="s">
        <v>18</v>
      </c>
    </row>
    <row r="58" spans="1:5" ht="12.75" customHeight="1">
      <c r="A58" s="76" t="s">
        <v>19</v>
      </c>
      <c r="B58" s="77" t="s">
        <v>20</v>
      </c>
      <c r="C58" s="77">
        <v>1</v>
      </c>
      <c r="D58" s="78">
        <v>1687.48</v>
      </c>
      <c r="E58" s="78">
        <f>C58*D58</f>
        <v>1687.48</v>
      </c>
    </row>
    <row r="59" spans="1:5" ht="12.75" hidden="1">
      <c r="A59" s="79" t="s">
        <v>21</v>
      </c>
      <c r="B59" s="80" t="s">
        <v>22</v>
      </c>
      <c r="C59" s="81">
        <v>0</v>
      </c>
      <c r="D59" s="82">
        <f>D58/220*2</f>
        <v>15.340727272727273</v>
      </c>
      <c r="E59" s="82">
        <f>C59*D59</f>
        <v>0</v>
      </c>
    </row>
    <row r="60" spans="1:5" ht="12.75" customHeight="1" hidden="1">
      <c r="A60" s="79" t="s">
        <v>23</v>
      </c>
      <c r="B60" s="80" t="s">
        <v>22</v>
      </c>
      <c r="C60" s="81">
        <v>0</v>
      </c>
      <c r="D60" s="82">
        <f>D58/220*1.5</f>
        <v>11.505545454545455</v>
      </c>
      <c r="E60" s="82">
        <f>C60*D60</f>
        <v>0</v>
      </c>
    </row>
    <row r="61" spans="1:5" ht="12.75">
      <c r="A61" s="79" t="s">
        <v>24</v>
      </c>
      <c r="B61" s="80" t="s">
        <v>5</v>
      </c>
      <c r="C61" s="80">
        <v>40</v>
      </c>
      <c r="D61" s="82">
        <f>D58</f>
        <v>1687.48</v>
      </c>
      <c r="E61" s="82">
        <f>C61*D61/100</f>
        <v>674.992</v>
      </c>
    </row>
    <row r="62" spans="1:5" ht="12.75">
      <c r="A62" s="83" t="s">
        <v>25</v>
      </c>
      <c r="B62" s="84"/>
      <c r="C62" s="84"/>
      <c r="D62" s="85"/>
      <c r="E62" s="86">
        <f>SUM(E58:E61)</f>
        <v>2362.4719999999998</v>
      </c>
    </row>
    <row r="63" spans="1:5" ht="12.75">
      <c r="A63" s="79" t="s">
        <v>26</v>
      </c>
      <c r="B63" s="80" t="s">
        <v>5</v>
      </c>
      <c r="C63" s="80">
        <v>97.09</v>
      </c>
      <c r="D63" s="82">
        <f>E62</f>
        <v>2362.4719999999998</v>
      </c>
      <c r="E63" s="82">
        <f>D63*C63/100</f>
        <v>2293.7240647999997</v>
      </c>
    </row>
    <row r="64" spans="1:5" ht="12.75">
      <c r="A64" s="83" t="s">
        <v>27</v>
      </c>
      <c r="B64" s="84"/>
      <c r="C64" s="84"/>
      <c r="D64" s="85"/>
      <c r="E64" s="86">
        <f>E62+E63</f>
        <v>4656.1960647999995</v>
      </c>
    </row>
    <row r="65" spans="1:5" ht="12.75">
      <c r="A65" s="79" t="s">
        <v>28</v>
      </c>
      <c r="B65" s="80" t="s">
        <v>29</v>
      </c>
      <c r="C65" s="87">
        <v>3</v>
      </c>
      <c r="D65" s="82">
        <f>E64</f>
        <v>4656.1960647999995</v>
      </c>
      <c r="E65" s="82">
        <f>C65*D65</f>
        <v>13968.5881944</v>
      </c>
    </row>
    <row r="66" spans="1:5" ht="12.75">
      <c r="A66" s="66"/>
      <c r="B66" s="88" t="s">
        <v>30</v>
      </c>
      <c r="C66" s="89" t="s">
        <v>31</v>
      </c>
      <c r="D66" s="85"/>
      <c r="E66" s="85"/>
    </row>
    <row r="67" spans="1:5" ht="12.75">
      <c r="A67" s="79" t="s">
        <v>32</v>
      </c>
      <c r="B67" s="90">
        <v>10</v>
      </c>
      <c r="C67" s="90">
        <v>10</v>
      </c>
      <c r="D67" s="82">
        <f>E65/C67</f>
        <v>1396.85881944</v>
      </c>
      <c r="E67" s="82">
        <f>D67*B67</f>
        <v>13968.5881944</v>
      </c>
    </row>
    <row r="68" spans="1:6" ht="12.75">
      <c r="A68" s="79"/>
      <c r="B68" s="90"/>
      <c r="C68" s="90"/>
      <c r="D68" s="82"/>
      <c r="E68" s="82"/>
      <c r="F68" s="91">
        <f>E67+E68</f>
        <v>13968.5881944</v>
      </c>
    </row>
    <row r="69" ht="11.25" customHeight="1"/>
    <row r="70" spans="1:6" ht="12.75" hidden="1">
      <c r="A70" s="1" t="s">
        <v>33</v>
      </c>
      <c r="F70" s="75" t="s">
        <v>18</v>
      </c>
    </row>
    <row r="71" spans="1:5" ht="12.75" hidden="1">
      <c r="A71" s="72" t="s">
        <v>14</v>
      </c>
      <c r="B71" s="73" t="s">
        <v>15</v>
      </c>
      <c r="C71" s="73" t="s">
        <v>9</v>
      </c>
      <c r="D71" s="74" t="s">
        <v>16</v>
      </c>
      <c r="E71" s="74" t="s">
        <v>17</v>
      </c>
    </row>
    <row r="72" spans="1:5" ht="12.75" hidden="1">
      <c r="A72" s="76" t="s">
        <v>19</v>
      </c>
      <c r="B72" s="77" t="s">
        <v>20</v>
      </c>
      <c r="C72" s="77">
        <v>0</v>
      </c>
      <c r="D72" s="78">
        <f>D58</f>
        <v>1687.48</v>
      </c>
      <c r="E72" s="78">
        <f>C72*D72</f>
        <v>0</v>
      </c>
    </row>
    <row r="73" spans="1:5" ht="12.75" hidden="1">
      <c r="A73" s="79" t="s">
        <v>21</v>
      </c>
      <c r="B73" s="80" t="s">
        <v>22</v>
      </c>
      <c r="C73" s="80">
        <v>0</v>
      </c>
      <c r="D73" s="82">
        <f>D72/220*2</f>
        <v>15.340727272727273</v>
      </c>
      <c r="E73" s="82">
        <f>C73*D73</f>
        <v>0</v>
      </c>
    </row>
    <row r="74" spans="1:5" ht="12.75" hidden="1">
      <c r="A74" s="79" t="s">
        <v>24</v>
      </c>
      <c r="B74" s="80" t="s">
        <v>5</v>
      </c>
      <c r="C74" s="80">
        <v>0</v>
      </c>
      <c r="D74" s="82">
        <f>D72</f>
        <v>1687.48</v>
      </c>
      <c r="E74" s="82">
        <f>C74*D74/100</f>
        <v>0</v>
      </c>
    </row>
    <row r="75" spans="1:5" ht="12.75" hidden="1">
      <c r="A75" s="79" t="s">
        <v>34</v>
      </c>
      <c r="B75" s="80" t="s">
        <v>22</v>
      </c>
      <c r="C75" s="81">
        <v>0</v>
      </c>
      <c r="D75" s="82">
        <f>D72/220*0.2</f>
        <v>1.5340727272727275</v>
      </c>
      <c r="E75" s="82">
        <f>C75*D75</f>
        <v>0</v>
      </c>
    </row>
    <row r="76" spans="1:5" ht="12.75" hidden="1">
      <c r="A76" s="83" t="s">
        <v>25</v>
      </c>
      <c r="B76" s="84"/>
      <c r="C76" s="84"/>
      <c r="D76" s="85"/>
      <c r="E76" s="86">
        <f>SUM(E72:E75)</f>
        <v>0</v>
      </c>
    </row>
    <row r="77" spans="1:5" ht="12.75" hidden="1">
      <c r="A77" s="79" t="s">
        <v>26</v>
      </c>
      <c r="B77" s="80" t="s">
        <v>5</v>
      </c>
      <c r="C77" s="80">
        <v>0</v>
      </c>
      <c r="D77" s="82">
        <f>E76</f>
        <v>0</v>
      </c>
      <c r="E77" s="82">
        <f>D77*C77/100</f>
        <v>0</v>
      </c>
    </row>
    <row r="78" spans="1:5" ht="12.75" hidden="1">
      <c r="A78" s="83" t="s">
        <v>27</v>
      </c>
      <c r="B78" s="84"/>
      <c r="C78" s="84"/>
      <c r="D78" s="85"/>
      <c r="E78" s="86">
        <f>E76+E77</f>
        <v>0</v>
      </c>
    </row>
    <row r="79" spans="1:6" ht="12.75" hidden="1">
      <c r="A79" s="79" t="s">
        <v>28</v>
      </c>
      <c r="B79" s="80" t="s">
        <v>29</v>
      </c>
      <c r="C79" s="80">
        <v>0</v>
      </c>
      <c r="D79" s="82">
        <f>E78</f>
        <v>0</v>
      </c>
      <c r="E79" s="82">
        <f>C79*D79</f>
        <v>0</v>
      </c>
      <c r="F79" s="91">
        <f>E79</f>
        <v>0</v>
      </c>
    </row>
    <row r="80" ht="12.75" hidden="1"/>
    <row r="81" ht="11.25" customHeight="1" hidden="1"/>
    <row r="82" spans="1:6" ht="12.75" hidden="1">
      <c r="A82" s="1" t="s">
        <v>35</v>
      </c>
      <c r="F82" s="75" t="s">
        <v>18</v>
      </c>
    </row>
    <row r="83" spans="1:5" ht="12.75" hidden="1">
      <c r="A83" s="72" t="s">
        <v>14</v>
      </c>
      <c r="B83" s="73" t="s">
        <v>15</v>
      </c>
      <c r="C83" s="73" t="s">
        <v>9</v>
      </c>
      <c r="D83" s="74" t="s">
        <v>16</v>
      </c>
      <c r="E83" s="74" t="s">
        <v>17</v>
      </c>
    </row>
    <row r="84" spans="1:5" ht="12.75" hidden="1">
      <c r="A84" s="76" t="s">
        <v>19</v>
      </c>
      <c r="B84" s="77" t="s">
        <v>20</v>
      </c>
      <c r="C84" s="77">
        <v>0</v>
      </c>
      <c r="D84" s="78">
        <f>D58</f>
        <v>1687.48</v>
      </c>
      <c r="E84" s="78">
        <f>C84*D84</f>
        <v>0</v>
      </c>
    </row>
    <row r="85" spans="1:5" ht="12.75" hidden="1">
      <c r="A85" s="79" t="s">
        <v>21</v>
      </c>
      <c r="B85" s="80" t="s">
        <v>22</v>
      </c>
      <c r="C85" s="92">
        <v>0</v>
      </c>
      <c r="D85" s="82">
        <f>D84/220*2</f>
        <v>15.340727272727273</v>
      </c>
      <c r="E85" s="82">
        <f>C85*D85</f>
        <v>0</v>
      </c>
    </row>
    <row r="86" spans="1:5" ht="12.75" hidden="1">
      <c r="A86" s="79" t="s">
        <v>24</v>
      </c>
      <c r="B86" s="80" t="s">
        <v>5</v>
      </c>
      <c r="C86" s="80">
        <v>0</v>
      </c>
      <c r="D86" s="82">
        <f>D84</f>
        <v>1687.48</v>
      </c>
      <c r="E86" s="82">
        <f>C86*D86/100</f>
        <v>0</v>
      </c>
    </row>
    <row r="87" spans="1:5" ht="12.75" hidden="1">
      <c r="A87" s="79" t="s">
        <v>34</v>
      </c>
      <c r="B87" s="80" t="s">
        <v>22</v>
      </c>
      <c r="C87" s="81">
        <v>0</v>
      </c>
      <c r="D87" s="82">
        <f>D84/220*0.2</f>
        <v>1.5340727272727275</v>
      </c>
      <c r="E87" s="82">
        <f>C87*D87</f>
        <v>0</v>
      </c>
    </row>
    <row r="88" spans="1:5" ht="12.75" hidden="1">
      <c r="A88" s="83" t="s">
        <v>25</v>
      </c>
      <c r="B88" s="84"/>
      <c r="C88" s="84"/>
      <c r="D88" s="85"/>
      <c r="E88" s="86">
        <f>SUM(E84:E87)</f>
        <v>0</v>
      </c>
    </row>
    <row r="89" spans="1:5" ht="12.75" hidden="1">
      <c r="A89" s="79" t="s">
        <v>26</v>
      </c>
      <c r="B89" s="80" t="s">
        <v>5</v>
      </c>
      <c r="C89" s="80">
        <f>+C77</f>
        <v>0</v>
      </c>
      <c r="D89" s="82">
        <f>E88</f>
        <v>0</v>
      </c>
      <c r="E89" s="82">
        <f>D89*C89/100</f>
        <v>0</v>
      </c>
    </row>
    <row r="90" spans="1:5" ht="12.75" hidden="1">
      <c r="A90" s="83" t="s">
        <v>27</v>
      </c>
      <c r="B90" s="84"/>
      <c r="C90" s="84"/>
      <c r="D90" s="85"/>
      <c r="E90" s="86">
        <f>E88+E89</f>
        <v>0</v>
      </c>
    </row>
    <row r="91" spans="1:6" ht="12.75" hidden="1">
      <c r="A91" s="79" t="s">
        <v>28</v>
      </c>
      <c r="B91" s="80" t="s">
        <v>29</v>
      </c>
      <c r="C91" s="80">
        <v>0</v>
      </c>
      <c r="D91" s="82">
        <f>E90</f>
        <v>0</v>
      </c>
      <c r="E91" s="82">
        <f>C91*D91</f>
        <v>0</v>
      </c>
      <c r="F91" s="91">
        <f>E91</f>
        <v>0</v>
      </c>
    </row>
    <row r="92" ht="12.75" hidden="1"/>
    <row r="93" ht="11.25" customHeight="1"/>
    <row r="94" ht="12.75">
      <c r="A94" s="1" t="s">
        <v>36</v>
      </c>
    </row>
    <row r="95" spans="1:6" s="93" customFormat="1" ht="12.75" customHeight="1">
      <c r="A95" s="72" t="s">
        <v>14</v>
      </c>
      <c r="B95" s="73" t="s">
        <v>15</v>
      </c>
      <c r="C95" s="73" t="s">
        <v>9</v>
      </c>
      <c r="D95" s="74" t="s">
        <v>16</v>
      </c>
      <c r="E95" s="74" t="s">
        <v>17</v>
      </c>
      <c r="F95" s="75" t="s">
        <v>18</v>
      </c>
    </row>
    <row r="96" spans="1:5" ht="12.75">
      <c r="A96" s="76" t="s">
        <v>19</v>
      </c>
      <c r="B96" s="77" t="s">
        <v>20</v>
      </c>
      <c r="C96" s="77">
        <v>1</v>
      </c>
      <c r="D96" s="78">
        <v>1817.2</v>
      </c>
      <c r="E96" s="78">
        <f>C96*D96</f>
        <v>1817.2</v>
      </c>
    </row>
    <row r="97" spans="1:5" ht="12.75" hidden="1">
      <c r="A97" s="79" t="s">
        <v>21</v>
      </c>
      <c r="B97" s="80" t="s">
        <v>22</v>
      </c>
      <c r="C97" s="81">
        <v>0</v>
      </c>
      <c r="D97" s="82">
        <f>D96/220*2</f>
        <v>16.52</v>
      </c>
      <c r="E97" s="82">
        <f>C97*D97</f>
        <v>0</v>
      </c>
    </row>
    <row r="98" spans="1:5" ht="12.75" hidden="1">
      <c r="A98" s="79" t="s">
        <v>23</v>
      </c>
      <c r="B98" s="80" t="s">
        <v>22</v>
      </c>
      <c r="C98" s="81">
        <v>0</v>
      </c>
      <c r="D98" s="82">
        <f>D96/220*1.5</f>
        <v>12.39</v>
      </c>
      <c r="E98" s="82">
        <f>C98*D98</f>
        <v>0</v>
      </c>
    </row>
    <row r="99" spans="1:5" ht="12.75">
      <c r="A99" s="79" t="s">
        <v>24</v>
      </c>
      <c r="B99" s="80" t="s">
        <v>5</v>
      </c>
      <c r="C99" s="80">
        <v>40</v>
      </c>
      <c r="D99" s="82">
        <f>D96</f>
        <v>1817.2</v>
      </c>
      <c r="E99" s="82">
        <f>C99*D99/100</f>
        <v>726.88</v>
      </c>
    </row>
    <row r="100" spans="1:5" ht="12.75">
      <c r="A100" s="79" t="s">
        <v>25</v>
      </c>
      <c r="B100" s="84"/>
      <c r="C100" s="84"/>
      <c r="D100" s="85"/>
      <c r="E100" s="82">
        <f>SUM(E96:E99)</f>
        <v>2544.08</v>
      </c>
    </row>
    <row r="101" spans="1:5" ht="12.75">
      <c r="A101" s="79" t="s">
        <v>26</v>
      </c>
      <c r="B101" s="80" t="s">
        <v>5</v>
      </c>
      <c r="C101" s="80">
        <v>97.09</v>
      </c>
      <c r="D101" s="82">
        <f>E100</f>
        <v>2544.08</v>
      </c>
      <c r="E101" s="82">
        <f>D101*C101/100</f>
        <v>2470.047272</v>
      </c>
    </row>
    <row r="102" spans="1:5" ht="12.75">
      <c r="A102" s="79" t="s">
        <v>37</v>
      </c>
      <c r="B102" s="94"/>
      <c r="C102" s="94"/>
      <c r="D102" s="95"/>
      <c r="E102" s="82">
        <f>E100+E101</f>
        <v>5014.127272</v>
      </c>
    </row>
    <row r="103" spans="1:5" ht="12.75">
      <c r="A103" s="79" t="s">
        <v>28</v>
      </c>
      <c r="B103" s="80" t="s">
        <v>29</v>
      </c>
      <c r="C103" s="80">
        <v>1</v>
      </c>
      <c r="D103" s="82">
        <f>E102</f>
        <v>5014.127272</v>
      </c>
      <c r="E103" s="82">
        <f>C103*D103</f>
        <v>5014.127272</v>
      </c>
    </row>
    <row r="104" spans="1:5" ht="12.75">
      <c r="A104" s="66"/>
      <c r="B104" s="88"/>
      <c r="C104" s="88"/>
      <c r="D104" s="85"/>
      <c r="E104" s="85"/>
    </row>
    <row r="105" spans="1:5" ht="12.75">
      <c r="A105" s="66"/>
      <c r="B105" s="88"/>
      <c r="C105" s="88"/>
      <c r="D105" s="85"/>
      <c r="E105" s="85"/>
    </row>
    <row r="106" spans="1:5" ht="12.75">
      <c r="A106" s="79" t="s">
        <v>32</v>
      </c>
      <c r="B106" s="90">
        <v>10</v>
      </c>
      <c r="C106" s="90">
        <v>10</v>
      </c>
      <c r="D106" s="82">
        <f>E102/C106</f>
        <v>501.41272719999995</v>
      </c>
      <c r="E106" s="82">
        <f>D106*B106</f>
        <v>5014.127272</v>
      </c>
    </row>
    <row r="107" spans="1:6" ht="12.75">
      <c r="A107" s="79"/>
      <c r="B107" s="90"/>
      <c r="C107" s="90"/>
      <c r="D107" s="82"/>
      <c r="E107" s="82"/>
      <c r="F107" s="91">
        <f>E106</f>
        <v>5014.127272</v>
      </c>
    </row>
    <row r="108" ht="11.25" customHeight="1"/>
    <row r="109" ht="12.75" hidden="1">
      <c r="A109" s="1" t="s">
        <v>38</v>
      </c>
    </row>
    <row r="110" spans="1:6" ht="12.75" hidden="1">
      <c r="A110" s="72" t="s">
        <v>14</v>
      </c>
      <c r="B110" s="73" t="s">
        <v>15</v>
      </c>
      <c r="C110" s="73" t="s">
        <v>9</v>
      </c>
      <c r="D110" s="74" t="s">
        <v>16</v>
      </c>
      <c r="E110" s="74" t="s">
        <v>17</v>
      </c>
      <c r="F110" s="75" t="s">
        <v>18</v>
      </c>
    </row>
    <row r="111" spans="1:5" ht="12.75" hidden="1">
      <c r="A111" s="76" t="s">
        <v>19</v>
      </c>
      <c r="B111" s="77" t="s">
        <v>20</v>
      </c>
      <c r="C111" s="77">
        <v>0</v>
      </c>
      <c r="D111" s="78">
        <f>D96</f>
        <v>1817.2</v>
      </c>
      <c r="E111" s="78">
        <f>C111*D111</f>
        <v>0</v>
      </c>
    </row>
    <row r="112" spans="1:5" ht="12.75" hidden="1">
      <c r="A112" s="79" t="s">
        <v>21</v>
      </c>
      <c r="B112" s="80" t="s">
        <v>22</v>
      </c>
      <c r="C112" s="92">
        <v>0</v>
      </c>
      <c r="D112" s="82">
        <f>D111/220*2</f>
        <v>16.52</v>
      </c>
      <c r="E112" s="82">
        <f>C112*D112</f>
        <v>0</v>
      </c>
    </row>
    <row r="113" spans="1:5" ht="12.75" hidden="1">
      <c r="A113" s="79" t="s">
        <v>24</v>
      </c>
      <c r="B113" s="80" t="s">
        <v>5</v>
      </c>
      <c r="C113" s="80">
        <v>0</v>
      </c>
      <c r="D113" s="82">
        <f>+D99</f>
        <v>1817.2</v>
      </c>
      <c r="E113" s="82">
        <f>C113*D113/100</f>
        <v>0</v>
      </c>
    </row>
    <row r="114" spans="1:5" ht="12.75" hidden="1">
      <c r="A114" s="79" t="s">
        <v>34</v>
      </c>
      <c r="B114" s="80" t="s">
        <v>22</v>
      </c>
      <c r="C114" s="81">
        <v>0</v>
      </c>
      <c r="D114" s="82">
        <f>D111/220*0.2</f>
        <v>1.6520000000000001</v>
      </c>
      <c r="E114" s="82">
        <f>C114*D114</f>
        <v>0</v>
      </c>
    </row>
    <row r="115" spans="1:5" ht="12.75" hidden="1">
      <c r="A115" s="83" t="s">
        <v>25</v>
      </c>
      <c r="B115" s="84"/>
      <c r="C115" s="84">
        <v>0</v>
      </c>
      <c r="D115" s="85"/>
      <c r="E115" s="86">
        <f>SUM(E111:E114)</f>
        <v>0</v>
      </c>
    </row>
    <row r="116" spans="1:5" ht="12.75" hidden="1">
      <c r="A116" s="79" t="s">
        <v>26</v>
      </c>
      <c r="B116" s="80" t="s">
        <v>5</v>
      </c>
      <c r="C116" s="80">
        <v>0</v>
      </c>
      <c r="D116" s="82">
        <f>E115</f>
        <v>0</v>
      </c>
      <c r="E116" s="82">
        <f>D116*C116/100</f>
        <v>0</v>
      </c>
    </row>
    <row r="117" spans="1:5" ht="12.75" hidden="1">
      <c r="A117" s="83" t="s">
        <v>37</v>
      </c>
      <c r="B117" s="84"/>
      <c r="C117" s="84"/>
      <c r="D117" s="85"/>
      <c r="E117" s="86">
        <f>E115+E116</f>
        <v>0</v>
      </c>
    </row>
    <row r="118" spans="1:5" ht="12.75" hidden="1">
      <c r="A118" s="79" t="s">
        <v>28</v>
      </c>
      <c r="B118" s="80" t="s">
        <v>29</v>
      </c>
      <c r="C118" s="80">
        <v>0</v>
      </c>
      <c r="D118" s="82">
        <f>E117</f>
        <v>0</v>
      </c>
      <c r="E118" s="82">
        <f>C118*D118</f>
        <v>0</v>
      </c>
    </row>
    <row r="119" ht="12.75" hidden="1">
      <c r="F119" s="91">
        <f>E118</f>
        <v>0</v>
      </c>
    </row>
    <row r="120" ht="11.25" customHeight="1" hidden="1"/>
    <row r="121" ht="12.75" hidden="1">
      <c r="A121" s="1" t="s">
        <v>39</v>
      </c>
    </row>
    <row r="122" spans="1:6" ht="12.75" hidden="1">
      <c r="A122" s="72" t="s">
        <v>14</v>
      </c>
      <c r="B122" s="73" t="s">
        <v>15</v>
      </c>
      <c r="C122" s="73" t="s">
        <v>9</v>
      </c>
      <c r="D122" s="74" t="s">
        <v>16</v>
      </c>
      <c r="E122" s="74" t="s">
        <v>17</v>
      </c>
      <c r="F122" s="75" t="s">
        <v>18</v>
      </c>
    </row>
    <row r="123" spans="1:5" ht="12.75" hidden="1">
      <c r="A123" s="76" t="s">
        <v>19</v>
      </c>
      <c r="B123" s="77" t="s">
        <v>20</v>
      </c>
      <c r="C123" s="77">
        <v>0</v>
      </c>
      <c r="D123" s="78">
        <f>D96</f>
        <v>1817.2</v>
      </c>
      <c r="E123" s="78">
        <f>C123*D123</f>
        <v>0</v>
      </c>
    </row>
    <row r="124" spans="1:5" ht="12.75" hidden="1">
      <c r="A124" s="79" t="s">
        <v>21</v>
      </c>
      <c r="B124" s="80" t="s">
        <v>22</v>
      </c>
      <c r="C124" s="92">
        <v>0</v>
      </c>
      <c r="D124" s="82">
        <f>D123/220*2</f>
        <v>16.52</v>
      </c>
      <c r="E124" s="82">
        <f>C124*D124</f>
        <v>0</v>
      </c>
    </row>
    <row r="125" spans="1:5" ht="12.75" hidden="1">
      <c r="A125" s="79" t="s">
        <v>24</v>
      </c>
      <c r="B125" s="80" t="s">
        <v>5</v>
      </c>
      <c r="C125" s="80">
        <v>0</v>
      </c>
      <c r="D125" s="82">
        <f>D99</f>
        <v>1817.2</v>
      </c>
      <c r="E125" s="82">
        <f>C125*D125/100</f>
        <v>0</v>
      </c>
    </row>
    <row r="126" spans="1:5" ht="12.75" hidden="1">
      <c r="A126" s="79" t="s">
        <v>34</v>
      </c>
      <c r="B126" s="80" t="s">
        <v>22</v>
      </c>
      <c r="C126" s="81">
        <v>0</v>
      </c>
      <c r="D126" s="82">
        <f>D123/220*0.2</f>
        <v>1.6520000000000001</v>
      </c>
      <c r="E126" s="82">
        <f>C126*D126</f>
        <v>0</v>
      </c>
    </row>
    <row r="127" spans="1:5" ht="12.75" hidden="1">
      <c r="A127" s="83" t="s">
        <v>25</v>
      </c>
      <c r="B127" s="84"/>
      <c r="C127" s="84"/>
      <c r="D127" s="85"/>
      <c r="E127" s="86">
        <f>SUM(E123:E126)</f>
        <v>0</v>
      </c>
    </row>
    <row r="128" spans="1:5" ht="12.75" hidden="1">
      <c r="A128" s="79" t="s">
        <v>26</v>
      </c>
      <c r="B128" s="80" t="s">
        <v>5</v>
      </c>
      <c r="C128" s="80">
        <f>+C77</f>
        <v>0</v>
      </c>
      <c r="D128" s="82">
        <f>E127</f>
        <v>0</v>
      </c>
      <c r="E128" s="82">
        <f>D128*C128/100</f>
        <v>0</v>
      </c>
    </row>
    <row r="129" spans="1:5" ht="12.75" hidden="1">
      <c r="A129" s="83" t="s">
        <v>37</v>
      </c>
      <c r="B129" s="84"/>
      <c r="C129" s="84"/>
      <c r="D129" s="85"/>
      <c r="E129" s="86">
        <f>E127+E128</f>
        <v>0</v>
      </c>
    </row>
    <row r="130" spans="1:5" ht="12.75" hidden="1">
      <c r="A130" s="79" t="s">
        <v>28</v>
      </c>
      <c r="B130" s="80" t="s">
        <v>29</v>
      </c>
      <c r="C130" s="80">
        <v>0</v>
      </c>
      <c r="D130" s="82">
        <f>E129</f>
        <v>0</v>
      </c>
      <c r="E130" s="82">
        <f>C130*D130</f>
        <v>0</v>
      </c>
    </row>
    <row r="131" ht="12.75" hidden="1">
      <c r="F131" s="91">
        <f>E130</f>
        <v>0</v>
      </c>
    </row>
    <row r="132" ht="11.25" customHeight="1" hidden="1"/>
    <row r="133" ht="12.75" hidden="1">
      <c r="A133" s="1" t="s">
        <v>40</v>
      </c>
    </row>
    <row r="134" spans="1:6" ht="12.75" hidden="1">
      <c r="A134" s="72" t="s">
        <v>14</v>
      </c>
      <c r="B134" s="73" t="s">
        <v>15</v>
      </c>
      <c r="C134" s="73" t="s">
        <v>9</v>
      </c>
      <c r="D134" s="74" t="s">
        <v>16</v>
      </c>
      <c r="E134" s="74" t="s">
        <v>17</v>
      </c>
      <c r="F134" s="75" t="s">
        <v>18</v>
      </c>
    </row>
    <row r="135" spans="1:5" ht="12.75" hidden="1">
      <c r="A135" s="76" t="s">
        <v>19</v>
      </c>
      <c r="B135" s="77" t="s">
        <v>20</v>
      </c>
      <c r="C135" s="77">
        <v>0</v>
      </c>
      <c r="D135" s="78">
        <f>+ROUND(D96*1.5,2)</f>
        <v>2725.8</v>
      </c>
      <c r="E135" s="78">
        <f>C135*D135</f>
        <v>0</v>
      </c>
    </row>
    <row r="136" spans="1:5" ht="12.75" hidden="1">
      <c r="A136" s="79" t="s">
        <v>21</v>
      </c>
      <c r="B136" s="80" t="s">
        <v>22</v>
      </c>
      <c r="C136" s="80">
        <v>0</v>
      </c>
      <c r="D136" s="82">
        <f>D135/220*2</f>
        <v>24.78</v>
      </c>
      <c r="E136" s="82">
        <f>C136*D136</f>
        <v>0</v>
      </c>
    </row>
    <row r="137" spans="1:5" ht="12.75" hidden="1">
      <c r="A137" s="79" t="s">
        <v>23</v>
      </c>
      <c r="B137" s="80" t="s">
        <v>22</v>
      </c>
      <c r="C137" s="80">
        <v>0</v>
      </c>
      <c r="D137" s="82">
        <f>D135/220*1.5</f>
        <v>18.585</v>
      </c>
      <c r="E137" s="82">
        <f>C137*D137</f>
        <v>0</v>
      </c>
    </row>
    <row r="138" spans="1:5" ht="12.75" hidden="1">
      <c r="A138" s="79" t="s">
        <v>24</v>
      </c>
      <c r="B138" s="80" t="s">
        <v>5</v>
      </c>
      <c r="C138" s="80">
        <v>0</v>
      </c>
      <c r="D138" s="82">
        <f>+D99</f>
        <v>1817.2</v>
      </c>
      <c r="E138" s="82">
        <f>C138*D138/100</f>
        <v>0</v>
      </c>
    </row>
    <row r="139" spans="1:5" ht="12.75" hidden="1">
      <c r="A139" s="83" t="s">
        <v>25</v>
      </c>
      <c r="B139" s="84"/>
      <c r="C139" s="84"/>
      <c r="D139" s="85"/>
      <c r="E139" s="86">
        <f>SUM(E135:E138)</f>
        <v>0</v>
      </c>
    </row>
    <row r="140" spans="1:5" ht="12.75" hidden="1">
      <c r="A140" s="79" t="s">
        <v>26</v>
      </c>
      <c r="B140" s="80" t="s">
        <v>5</v>
      </c>
      <c r="C140" s="80">
        <v>0</v>
      </c>
      <c r="D140" s="82">
        <f>E139</f>
        <v>0</v>
      </c>
      <c r="E140" s="82">
        <f>D140*C140/100</f>
        <v>0</v>
      </c>
    </row>
    <row r="141" spans="1:5" ht="12.75" hidden="1">
      <c r="A141" s="83" t="s">
        <v>41</v>
      </c>
      <c r="B141" s="84"/>
      <c r="C141" s="84"/>
      <c r="D141" s="85"/>
      <c r="E141" s="86">
        <f>E139+E140</f>
        <v>0</v>
      </c>
    </row>
    <row r="142" spans="1:5" ht="12.75" hidden="1">
      <c r="A142" s="79" t="s">
        <v>28</v>
      </c>
      <c r="B142" s="80" t="s">
        <v>29</v>
      </c>
      <c r="C142" s="80">
        <v>0</v>
      </c>
      <c r="D142" s="82">
        <f>E141</f>
        <v>0</v>
      </c>
      <c r="E142" s="82">
        <f>C142*D142</f>
        <v>0</v>
      </c>
    </row>
    <row r="143" ht="12.75" hidden="1">
      <c r="F143" s="91">
        <f>E142</f>
        <v>0</v>
      </c>
    </row>
    <row r="144" ht="11.25" customHeight="1" hidden="1"/>
    <row r="145" ht="12.75" hidden="1">
      <c r="A145" s="1" t="s">
        <v>42</v>
      </c>
    </row>
    <row r="146" spans="1:6" ht="12.75" hidden="1">
      <c r="A146" s="72" t="s">
        <v>14</v>
      </c>
      <c r="B146" s="73" t="s">
        <v>15</v>
      </c>
      <c r="C146" s="73" t="s">
        <v>9</v>
      </c>
      <c r="D146" s="74" t="s">
        <v>16</v>
      </c>
      <c r="E146" s="74" t="s">
        <v>17</v>
      </c>
      <c r="F146" s="75" t="s">
        <v>18</v>
      </c>
    </row>
    <row r="147" spans="1:5" ht="12.75" hidden="1">
      <c r="A147" s="76" t="s">
        <v>19</v>
      </c>
      <c r="B147" s="77" t="s">
        <v>20</v>
      </c>
      <c r="C147" s="77">
        <v>0</v>
      </c>
      <c r="D147" s="78">
        <f>+D135</f>
        <v>2725.8</v>
      </c>
      <c r="E147" s="78">
        <f>C147*D147</f>
        <v>0</v>
      </c>
    </row>
    <row r="148" spans="1:5" ht="12.75" hidden="1">
      <c r="A148" s="79" t="s">
        <v>21</v>
      </c>
      <c r="B148" s="80" t="s">
        <v>22</v>
      </c>
      <c r="C148" s="80">
        <f>+C136</f>
        <v>0</v>
      </c>
      <c r="D148" s="82">
        <f>D147/220*2</f>
        <v>24.78</v>
      </c>
      <c r="E148" s="82">
        <f>C148*D148</f>
        <v>0</v>
      </c>
    </row>
    <row r="149" spans="1:5" ht="12.75" hidden="1">
      <c r="A149" s="79" t="s">
        <v>43</v>
      </c>
      <c r="B149" s="80" t="s">
        <v>22</v>
      </c>
      <c r="C149" s="80">
        <f>+C137</f>
        <v>0</v>
      </c>
      <c r="D149" s="82">
        <f>D147/220*1.5*1.2</f>
        <v>22.302</v>
      </c>
      <c r="E149" s="82">
        <f>C149*D149</f>
        <v>0</v>
      </c>
    </row>
    <row r="150" spans="1:5" ht="12.75" hidden="1">
      <c r="A150" s="79" t="s">
        <v>24</v>
      </c>
      <c r="B150" s="80" t="s">
        <v>5</v>
      </c>
      <c r="C150" s="80">
        <f>+C138</f>
        <v>0</v>
      </c>
      <c r="D150" s="82">
        <f>+D99</f>
        <v>1817.2</v>
      </c>
      <c r="E150" s="82">
        <f>C150*D150/100</f>
        <v>0</v>
      </c>
    </row>
    <row r="151" spans="1:5" ht="12.75" hidden="1">
      <c r="A151" s="79" t="s">
        <v>34</v>
      </c>
      <c r="B151" s="80" t="s">
        <v>22</v>
      </c>
      <c r="C151" s="81">
        <v>0</v>
      </c>
      <c r="D151" s="82">
        <f>D147/220*0.2</f>
        <v>2.478</v>
      </c>
      <c r="E151" s="82">
        <f>C151*D151</f>
        <v>0</v>
      </c>
    </row>
    <row r="152" spans="1:5" ht="12.75" hidden="1">
      <c r="A152" s="83" t="s">
        <v>25</v>
      </c>
      <c r="B152" s="84"/>
      <c r="C152" s="84"/>
      <c r="D152" s="85"/>
      <c r="E152" s="86">
        <f>SUM(E147:E151)</f>
        <v>0</v>
      </c>
    </row>
    <row r="153" spans="1:5" ht="12.75" hidden="1">
      <c r="A153" s="79" t="s">
        <v>26</v>
      </c>
      <c r="B153" s="80" t="s">
        <v>5</v>
      </c>
      <c r="C153" s="80">
        <v>0</v>
      </c>
      <c r="D153" s="82">
        <f>E152</f>
        <v>0</v>
      </c>
      <c r="E153" s="82">
        <f>D153*C153/100</f>
        <v>0</v>
      </c>
    </row>
    <row r="154" spans="1:5" ht="12.75" hidden="1">
      <c r="A154" s="79" t="s">
        <v>41</v>
      </c>
      <c r="B154" s="94"/>
      <c r="C154" s="94"/>
      <c r="D154" s="95"/>
      <c r="E154" s="82">
        <f>E152+E153</f>
        <v>0</v>
      </c>
    </row>
    <row r="155" spans="1:5" ht="12.75" hidden="1">
      <c r="A155" s="79" t="s">
        <v>28</v>
      </c>
      <c r="B155" s="80" t="s">
        <v>29</v>
      </c>
      <c r="C155" s="80">
        <v>0</v>
      </c>
      <c r="D155" s="82">
        <f>E154</f>
        <v>0</v>
      </c>
      <c r="E155" s="82">
        <f>C155*D155</f>
        <v>0</v>
      </c>
    </row>
    <row r="156" ht="12.75" hidden="1">
      <c r="F156" s="91">
        <f>E155</f>
        <v>0</v>
      </c>
    </row>
    <row r="157" ht="11.25" customHeight="1" hidden="1"/>
    <row r="158" ht="12.75" hidden="1">
      <c r="A158" s="1" t="s">
        <v>44</v>
      </c>
    </row>
    <row r="159" spans="1:6" ht="12.75" hidden="1">
      <c r="A159" s="72" t="s">
        <v>14</v>
      </c>
      <c r="B159" s="73" t="s">
        <v>15</v>
      </c>
      <c r="C159" s="73" t="s">
        <v>9</v>
      </c>
      <c r="D159" s="74" t="s">
        <v>16</v>
      </c>
      <c r="E159" s="74" t="s">
        <v>17</v>
      </c>
      <c r="F159" s="75" t="s">
        <v>18</v>
      </c>
    </row>
    <row r="160" spans="1:5" ht="12.75" hidden="1">
      <c r="A160" s="76" t="s">
        <v>19</v>
      </c>
      <c r="B160" s="77" t="s">
        <v>20</v>
      </c>
      <c r="C160" s="77">
        <v>0</v>
      </c>
      <c r="D160" s="78">
        <f>+D96*2</f>
        <v>3634.4</v>
      </c>
      <c r="E160" s="78">
        <f>C160*D160</f>
        <v>0</v>
      </c>
    </row>
    <row r="161" spans="1:5" ht="12.75" hidden="1">
      <c r="A161" s="79" t="s">
        <v>21</v>
      </c>
      <c r="B161" s="80" t="s">
        <v>22</v>
      </c>
      <c r="C161" s="80">
        <f>+C136</f>
        <v>0</v>
      </c>
      <c r="D161" s="82">
        <f>D160/220*2</f>
        <v>33.04</v>
      </c>
      <c r="E161" s="82">
        <f>C161*D161</f>
        <v>0</v>
      </c>
    </row>
    <row r="162" spans="1:5" ht="12.75" hidden="1">
      <c r="A162" s="79" t="s">
        <v>23</v>
      </c>
      <c r="B162" s="80" t="s">
        <v>22</v>
      </c>
      <c r="C162" s="80">
        <f>+C137</f>
        <v>0</v>
      </c>
      <c r="D162" s="82">
        <f>D160/220*1.5</f>
        <v>24.78</v>
      </c>
      <c r="E162" s="82">
        <f>C162*D162</f>
        <v>0</v>
      </c>
    </row>
    <row r="163" spans="1:5" ht="12.75" hidden="1">
      <c r="A163" s="83" t="s">
        <v>25</v>
      </c>
      <c r="B163" s="84"/>
      <c r="C163" s="84"/>
      <c r="D163" s="85"/>
      <c r="E163" s="86">
        <f>SUM(E160:E162)</f>
        <v>0</v>
      </c>
    </row>
    <row r="164" spans="1:5" ht="12.75" hidden="1">
      <c r="A164" s="79" t="s">
        <v>26</v>
      </c>
      <c r="B164" s="80" t="s">
        <v>5</v>
      </c>
      <c r="C164" s="80">
        <v>0</v>
      </c>
      <c r="D164" s="82">
        <f>E163</f>
        <v>0</v>
      </c>
      <c r="E164" s="82">
        <f>D164*C164/100</f>
        <v>0</v>
      </c>
    </row>
    <row r="165" spans="1:5" ht="12.75" hidden="1">
      <c r="A165" s="83" t="s">
        <v>45</v>
      </c>
      <c r="B165" s="84"/>
      <c r="C165" s="84"/>
      <c r="D165" s="85"/>
      <c r="E165" s="86">
        <f>E163+E164</f>
        <v>0</v>
      </c>
    </row>
    <row r="166" spans="1:5" ht="12.75" hidden="1">
      <c r="A166" s="79" t="s">
        <v>28</v>
      </c>
      <c r="B166" s="80" t="s">
        <v>29</v>
      </c>
      <c r="C166" s="80">
        <v>0</v>
      </c>
      <c r="D166" s="82">
        <f>E165</f>
        <v>0</v>
      </c>
      <c r="E166" s="82">
        <f>C166*D166</f>
        <v>0</v>
      </c>
    </row>
    <row r="167" ht="12.75" hidden="1">
      <c r="F167" s="91">
        <f>E166</f>
        <v>0</v>
      </c>
    </row>
    <row r="168" ht="11.25" customHeight="1" hidden="1"/>
    <row r="169" ht="12.75" hidden="1">
      <c r="A169" s="1" t="s">
        <v>46</v>
      </c>
    </row>
    <row r="170" spans="1:6" ht="12.75" hidden="1">
      <c r="A170" s="72" t="s">
        <v>14</v>
      </c>
      <c r="B170" s="73" t="s">
        <v>15</v>
      </c>
      <c r="C170" s="73" t="s">
        <v>9</v>
      </c>
      <c r="D170" s="74" t="s">
        <v>16</v>
      </c>
      <c r="E170" s="74" t="s">
        <v>17</v>
      </c>
      <c r="F170" s="75" t="s">
        <v>18</v>
      </c>
    </row>
    <row r="171" spans="1:5" ht="12.75" hidden="1">
      <c r="A171" s="76" t="s">
        <v>19</v>
      </c>
      <c r="B171" s="77" t="s">
        <v>20</v>
      </c>
      <c r="C171" s="77">
        <v>0</v>
      </c>
      <c r="D171" s="78">
        <f>D160</f>
        <v>3634.4</v>
      </c>
      <c r="E171" s="78">
        <f>C171*D171</f>
        <v>0</v>
      </c>
    </row>
    <row r="172" spans="1:5" ht="12.75" hidden="1">
      <c r="A172" s="79" t="s">
        <v>21</v>
      </c>
      <c r="B172" s="80" t="s">
        <v>22</v>
      </c>
      <c r="C172" s="80">
        <f>+C161</f>
        <v>0</v>
      </c>
      <c r="D172" s="82">
        <f>D171/220*2</f>
        <v>33.04</v>
      </c>
      <c r="E172" s="82">
        <f>C172*D172</f>
        <v>0</v>
      </c>
    </row>
    <row r="173" spans="1:5" ht="12.75" hidden="1">
      <c r="A173" s="79" t="s">
        <v>43</v>
      </c>
      <c r="B173" s="80" t="s">
        <v>22</v>
      </c>
      <c r="C173" s="80">
        <f>+C162</f>
        <v>0</v>
      </c>
      <c r="D173" s="82">
        <f>D171/220*1.5*1.2</f>
        <v>29.736</v>
      </c>
      <c r="E173" s="82">
        <f>C173*D173</f>
        <v>0</v>
      </c>
    </row>
    <row r="174" spans="1:5" ht="12.75" hidden="1">
      <c r="A174" s="79" t="s">
        <v>34</v>
      </c>
      <c r="B174" s="80" t="s">
        <v>22</v>
      </c>
      <c r="C174" s="81">
        <f>+C151</f>
        <v>0</v>
      </c>
      <c r="D174" s="82">
        <f>D171/220*0.2</f>
        <v>3.3040000000000003</v>
      </c>
      <c r="E174" s="82">
        <f>C174*D174</f>
        <v>0</v>
      </c>
    </row>
    <row r="175" spans="1:5" ht="12.75" hidden="1">
      <c r="A175" s="83" t="s">
        <v>25</v>
      </c>
      <c r="B175" s="84"/>
      <c r="C175" s="84"/>
      <c r="D175" s="85"/>
      <c r="E175" s="86">
        <f>SUM(E171:E174)</f>
        <v>0</v>
      </c>
    </row>
    <row r="176" spans="1:5" ht="12.75" hidden="1">
      <c r="A176" s="79" t="s">
        <v>26</v>
      </c>
      <c r="B176" s="80" t="s">
        <v>5</v>
      </c>
      <c r="C176" s="80">
        <v>0</v>
      </c>
      <c r="D176" s="82">
        <f>E175</f>
        <v>0</v>
      </c>
      <c r="E176" s="82">
        <f>D176*C176/100</f>
        <v>0</v>
      </c>
    </row>
    <row r="177" spans="1:5" ht="12.75" hidden="1">
      <c r="A177" s="83" t="s">
        <v>45</v>
      </c>
      <c r="B177" s="84"/>
      <c r="C177" s="84"/>
      <c r="D177" s="85"/>
      <c r="E177" s="86">
        <f>E175+E176</f>
        <v>0</v>
      </c>
    </row>
    <row r="178" spans="1:5" ht="12.75" hidden="1">
      <c r="A178" s="79" t="s">
        <v>28</v>
      </c>
      <c r="B178" s="80" t="s">
        <v>29</v>
      </c>
      <c r="C178" s="80">
        <v>0</v>
      </c>
      <c r="D178" s="82">
        <f>E177</f>
        <v>0</v>
      </c>
      <c r="E178" s="82">
        <f>C178*D178</f>
        <v>0</v>
      </c>
    </row>
    <row r="179" ht="12.75" hidden="1">
      <c r="F179" s="91">
        <f>E178</f>
        <v>0</v>
      </c>
    </row>
    <row r="180" ht="11.25" customHeight="1" hidden="1"/>
    <row r="181" ht="12.75" hidden="1">
      <c r="A181" s="1" t="s">
        <v>47</v>
      </c>
    </row>
    <row r="182" spans="1:6" ht="12.75" hidden="1">
      <c r="A182" s="72" t="s">
        <v>14</v>
      </c>
      <c r="B182" s="73" t="s">
        <v>15</v>
      </c>
      <c r="C182" s="73" t="s">
        <v>9</v>
      </c>
      <c r="D182" s="74" t="s">
        <v>16</v>
      </c>
      <c r="E182" s="74" t="s">
        <v>17</v>
      </c>
      <c r="F182" s="75" t="s">
        <v>18</v>
      </c>
    </row>
    <row r="183" spans="1:5" ht="12.75" hidden="1">
      <c r="A183" s="76" t="s">
        <v>19</v>
      </c>
      <c r="B183" s="77" t="s">
        <v>20</v>
      </c>
      <c r="C183" s="77">
        <v>0</v>
      </c>
      <c r="D183" s="78">
        <f>+D99*3</f>
        <v>5451.6</v>
      </c>
      <c r="E183" s="78">
        <f>C183*D183</f>
        <v>0</v>
      </c>
    </row>
    <row r="184" spans="1:5" ht="12.75" hidden="1">
      <c r="A184" s="79" t="s">
        <v>21</v>
      </c>
      <c r="B184" s="80" t="s">
        <v>22</v>
      </c>
      <c r="C184" s="80">
        <f>+C136</f>
        <v>0</v>
      </c>
      <c r="D184" s="82">
        <f>D183/220*2</f>
        <v>49.56</v>
      </c>
      <c r="E184" s="82">
        <f>C184*D184</f>
        <v>0</v>
      </c>
    </row>
    <row r="185" spans="1:5" ht="12.75" hidden="1">
      <c r="A185" s="79" t="s">
        <v>23</v>
      </c>
      <c r="B185" s="80" t="s">
        <v>22</v>
      </c>
      <c r="C185" s="80">
        <f>+C137</f>
        <v>0</v>
      </c>
      <c r="D185" s="82">
        <f>D183/220*1.5</f>
        <v>37.17</v>
      </c>
      <c r="E185" s="82">
        <f>C185*D185</f>
        <v>0</v>
      </c>
    </row>
    <row r="186" spans="1:5" ht="12.75" hidden="1">
      <c r="A186" s="79" t="s">
        <v>24</v>
      </c>
      <c r="B186" s="80" t="s">
        <v>5</v>
      </c>
      <c r="C186" s="80">
        <v>0</v>
      </c>
      <c r="D186" s="82">
        <f>+D99</f>
        <v>1817.2</v>
      </c>
      <c r="E186" s="82">
        <f>C186*D186/100</f>
        <v>0</v>
      </c>
    </row>
    <row r="187" spans="1:5" ht="12.75" hidden="1">
      <c r="A187" s="83" t="s">
        <v>25</v>
      </c>
      <c r="B187" s="84"/>
      <c r="C187" s="84"/>
      <c r="D187" s="85"/>
      <c r="E187" s="86">
        <f>SUM(E183:E186)</f>
        <v>0</v>
      </c>
    </row>
    <row r="188" spans="1:5" ht="12.75" hidden="1">
      <c r="A188" s="79" t="s">
        <v>26</v>
      </c>
      <c r="B188" s="80" t="s">
        <v>5</v>
      </c>
      <c r="C188" s="80">
        <v>0</v>
      </c>
      <c r="D188" s="82">
        <f>E187</f>
        <v>0</v>
      </c>
      <c r="E188" s="82">
        <f>D188*C188/100</f>
        <v>0</v>
      </c>
    </row>
    <row r="189" spans="1:5" ht="12.75" hidden="1">
      <c r="A189" s="83" t="s">
        <v>48</v>
      </c>
      <c r="B189" s="84"/>
      <c r="C189" s="84"/>
      <c r="D189" s="85"/>
      <c r="E189" s="86">
        <f>E187+E188</f>
        <v>0</v>
      </c>
    </row>
    <row r="190" spans="1:5" ht="12.75" hidden="1">
      <c r="A190" s="79" t="s">
        <v>28</v>
      </c>
      <c r="B190" s="80" t="s">
        <v>29</v>
      </c>
      <c r="C190" s="80">
        <v>0</v>
      </c>
      <c r="D190" s="82">
        <f>E189</f>
        <v>0</v>
      </c>
      <c r="E190" s="82">
        <f>C190*D190</f>
        <v>0</v>
      </c>
    </row>
    <row r="191" ht="12.75" hidden="1">
      <c r="F191" s="91">
        <f>E190</f>
        <v>0</v>
      </c>
    </row>
    <row r="192" ht="11.25" customHeight="1" hidden="1"/>
    <row r="193" ht="12.75" hidden="1">
      <c r="A193" s="1" t="s">
        <v>49</v>
      </c>
    </row>
    <row r="194" spans="1:6" ht="12.75" hidden="1">
      <c r="A194" s="72" t="s">
        <v>14</v>
      </c>
      <c r="B194" s="73" t="s">
        <v>15</v>
      </c>
      <c r="C194" s="73" t="s">
        <v>9</v>
      </c>
      <c r="D194" s="74" t="s">
        <v>16</v>
      </c>
      <c r="E194" s="74" t="s">
        <v>17</v>
      </c>
      <c r="F194" s="75" t="s">
        <v>18</v>
      </c>
    </row>
    <row r="195" spans="1:5" ht="12.75" hidden="1">
      <c r="A195" s="76" t="s">
        <v>19</v>
      </c>
      <c r="B195" s="77" t="s">
        <v>20</v>
      </c>
      <c r="C195" s="77">
        <v>0</v>
      </c>
      <c r="D195" s="78">
        <f>+D183</f>
        <v>5451.6</v>
      </c>
      <c r="E195" s="78">
        <f>C195*D195</f>
        <v>0</v>
      </c>
    </row>
    <row r="196" spans="1:5" ht="12.75" hidden="1">
      <c r="A196" s="79" t="s">
        <v>21</v>
      </c>
      <c r="B196" s="80" t="s">
        <v>22</v>
      </c>
      <c r="C196" s="80">
        <f>+C148</f>
        <v>0</v>
      </c>
      <c r="D196" s="82">
        <f>D195/220*2</f>
        <v>49.56</v>
      </c>
      <c r="E196" s="82">
        <f>C196*D196</f>
        <v>0</v>
      </c>
    </row>
    <row r="197" spans="1:5" ht="12.75" hidden="1">
      <c r="A197" s="79" t="s">
        <v>43</v>
      </c>
      <c r="B197" s="80" t="s">
        <v>22</v>
      </c>
      <c r="C197" s="80">
        <f>+C149</f>
        <v>0</v>
      </c>
      <c r="D197" s="82">
        <f>D195/220*1.5*1.2</f>
        <v>44.604</v>
      </c>
      <c r="E197" s="82">
        <f>C197*D197</f>
        <v>0</v>
      </c>
    </row>
    <row r="198" spans="1:5" ht="12.75" hidden="1">
      <c r="A198" s="79" t="s">
        <v>24</v>
      </c>
      <c r="B198" s="80" t="s">
        <v>5</v>
      </c>
      <c r="C198" s="80">
        <v>0</v>
      </c>
      <c r="D198" s="82">
        <f>+D99</f>
        <v>1817.2</v>
      </c>
      <c r="E198" s="82">
        <f>C198*D198/100</f>
        <v>0</v>
      </c>
    </row>
    <row r="199" spans="1:5" ht="12.75" hidden="1">
      <c r="A199" s="79" t="s">
        <v>34</v>
      </c>
      <c r="B199" s="80" t="s">
        <v>22</v>
      </c>
      <c r="C199" s="81">
        <f>+C151</f>
        <v>0</v>
      </c>
      <c r="D199" s="82">
        <f>D195/220*0.2</f>
        <v>4.956</v>
      </c>
      <c r="E199" s="82">
        <f>C199*D199</f>
        <v>0</v>
      </c>
    </row>
    <row r="200" spans="1:5" ht="12.75" hidden="1">
      <c r="A200" s="83" t="s">
        <v>25</v>
      </c>
      <c r="B200" s="84"/>
      <c r="C200" s="84">
        <v>0</v>
      </c>
      <c r="D200" s="85"/>
      <c r="E200" s="86">
        <f>SUM(E195:E199)</f>
        <v>0</v>
      </c>
    </row>
    <row r="201" spans="1:5" ht="12.75" hidden="1">
      <c r="A201" s="79" t="s">
        <v>26</v>
      </c>
      <c r="B201" s="80" t="s">
        <v>5</v>
      </c>
      <c r="C201" s="80">
        <v>0</v>
      </c>
      <c r="D201" s="82">
        <f>E200</f>
        <v>0</v>
      </c>
      <c r="E201" s="82">
        <f>D201*C201/100</f>
        <v>0</v>
      </c>
    </row>
    <row r="202" spans="1:5" ht="12.75" hidden="1">
      <c r="A202" s="83" t="s">
        <v>48</v>
      </c>
      <c r="B202" s="84"/>
      <c r="C202" s="84"/>
      <c r="D202" s="85"/>
      <c r="E202" s="86">
        <f>E200+E201</f>
        <v>0</v>
      </c>
    </row>
    <row r="203" spans="1:5" ht="12.75" hidden="1">
      <c r="A203" s="79" t="s">
        <v>28</v>
      </c>
      <c r="B203" s="80" t="s">
        <v>29</v>
      </c>
      <c r="C203" s="80">
        <v>0</v>
      </c>
      <c r="D203" s="82">
        <f>E202</f>
        <v>0</v>
      </c>
      <c r="E203" s="82">
        <f>C203*D203</f>
        <v>0</v>
      </c>
    </row>
    <row r="204" ht="12.75" hidden="1">
      <c r="F204" s="91">
        <f>E203</f>
        <v>0</v>
      </c>
    </row>
    <row r="205" ht="11.25" customHeight="1" hidden="1"/>
    <row r="206" ht="12.75" hidden="1">
      <c r="A206" s="1" t="s">
        <v>50</v>
      </c>
    </row>
    <row r="207" spans="1:6" ht="12.75" hidden="1">
      <c r="A207" s="72" t="s">
        <v>14</v>
      </c>
      <c r="B207" s="73" t="s">
        <v>15</v>
      </c>
      <c r="C207" s="73" t="s">
        <v>9</v>
      </c>
      <c r="D207" s="74" t="s">
        <v>16</v>
      </c>
      <c r="E207" s="74" t="s">
        <v>17</v>
      </c>
      <c r="F207" s="75" t="s">
        <v>18</v>
      </c>
    </row>
    <row r="208" spans="1:5" ht="12.75" hidden="1">
      <c r="A208" s="76" t="s">
        <v>19</v>
      </c>
      <c r="B208" s="77" t="s">
        <v>20</v>
      </c>
      <c r="C208" s="77">
        <v>0</v>
      </c>
      <c r="D208" s="78">
        <f>+D135</f>
        <v>2725.8</v>
      </c>
      <c r="E208" s="78">
        <f>C208*D208</f>
        <v>0</v>
      </c>
    </row>
    <row r="209" spans="1:5" ht="12.75" hidden="1">
      <c r="A209" s="79" t="s">
        <v>21</v>
      </c>
      <c r="B209" s="80" t="s">
        <v>22</v>
      </c>
      <c r="C209" s="80">
        <f>+C136</f>
        <v>0</v>
      </c>
      <c r="D209" s="82">
        <f>D208/220*2</f>
        <v>24.78</v>
      </c>
      <c r="E209" s="82">
        <f>C209*D209</f>
        <v>0</v>
      </c>
    </row>
    <row r="210" spans="1:5" ht="12.75" hidden="1">
      <c r="A210" s="79" t="s">
        <v>23</v>
      </c>
      <c r="B210" s="80" t="s">
        <v>22</v>
      </c>
      <c r="C210" s="80">
        <f>+C137</f>
        <v>0</v>
      </c>
      <c r="D210" s="82">
        <f>D208/220*1.5</f>
        <v>18.585</v>
      </c>
      <c r="E210" s="82">
        <f>C210*D210</f>
        <v>0</v>
      </c>
    </row>
    <row r="211" spans="1:5" ht="12.75" hidden="1">
      <c r="A211" s="83" t="s">
        <v>25</v>
      </c>
      <c r="B211" s="84"/>
      <c r="C211" s="84"/>
      <c r="D211" s="85"/>
      <c r="E211" s="86">
        <f>SUM(E208:E210)</f>
        <v>0</v>
      </c>
    </row>
    <row r="212" spans="1:5" ht="12.75" hidden="1">
      <c r="A212" s="79" t="s">
        <v>26</v>
      </c>
      <c r="B212" s="80" t="s">
        <v>5</v>
      </c>
      <c r="C212" s="80">
        <v>0</v>
      </c>
      <c r="D212" s="82">
        <f>E211</f>
        <v>0</v>
      </c>
      <c r="E212" s="82">
        <f>D212*C212/100</f>
        <v>0</v>
      </c>
    </row>
    <row r="213" spans="1:5" ht="12.75" hidden="1">
      <c r="A213" s="83" t="s">
        <v>51</v>
      </c>
      <c r="B213" s="84"/>
      <c r="C213" s="84"/>
      <c r="D213" s="85"/>
      <c r="E213" s="86">
        <f>E211+E212</f>
        <v>0</v>
      </c>
    </row>
    <row r="214" spans="1:5" ht="12.75" hidden="1">
      <c r="A214" s="79" t="s">
        <v>28</v>
      </c>
      <c r="B214" s="80" t="s">
        <v>29</v>
      </c>
      <c r="C214" s="80">
        <v>0</v>
      </c>
      <c r="D214" s="82">
        <f>E213</f>
        <v>0</v>
      </c>
      <c r="E214" s="82">
        <f>C214*D214</f>
        <v>0</v>
      </c>
    </row>
    <row r="215" ht="12.75" hidden="1">
      <c r="F215" s="91">
        <f>E214</f>
        <v>0</v>
      </c>
    </row>
    <row r="216" ht="11.25" customHeight="1" hidden="1"/>
    <row r="217" ht="12.75" hidden="1">
      <c r="A217" s="1" t="s">
        <v>52</v>
      </c>
    </row>
    <row r="218" spans="1:6" ht="12.75" hidden="1">
      <c r="A218" s="72" t="s">
        <v>14</v>
      </c>
      <c r="B218" s="73" t="s">
        <v>15</v>
      </c>
      <c r="C218" s="73" t="s">
        <v>9</v>
      </c>
      <c r="D218" s="74" t="s">
        <v>16</v>
      </c>
      <c r="E218" s="74" t="s">
        <v>17</v>
      </c>
      <c r="F218" s="75" t="s">
        <v>18</v>
      </c>
    </row>
    <row r="219" spans="1:5" ht="12.75" hidden="1">
      <c r="A219" s="76" t="s">
        <v>19</v>
      </c>
      <c r="B219" s="77" t="s">
        <v>20</v>
      </c>
      <c r="C219" s="77">
        <v>0</v>
      </c>
      <c r="D219" s="78">
        <f>+D208</f>
        <v>2725.8</v>
      </c>
      <c r="E219" s="78">
        <f>C219*D219</f>
        <v>0</v>
      </c>
    </row>
    <row r="220" spans="1:5" ht="12.75" hidden="1">
      <c r="A220" s="79" t="s">
        <v>21</v>
      </c>
      <c r="B220" s="80" t="s">
        <v>22</v>
      </c>
      <c r="C220" s="80">
        <f>+C148</f>
        <v>0</v>
      </c>
      <c r="D220" s="82">
        <f>D219/220*2</f>
        <v>24.78</v>
      </c>
      <c r="E220" s="82">
        <f>C220*D220</f>
        <v>0</v>
      </c>
    </row>
    <row r="221" spans="1:5" ht="12.75" hidden="1">
      <c r="A221" s="79" t="s">
        <v>43</v>
      </c>
      <c r="B221" s="80" t="s">
        <v>22</v>
      </c>
      <c r="C221" s="80">
        <f>+C149</f>
        <v>0</v>
      </c>
      <c r="D221" s="82">
        <f>D219/220*1.5*1.2</f>
        <v>22.302</v>
      </c>
      <c r="E221" s="82">
        <f>C221*D221</f>
        <v>0</v>
      </c>
    </row>
    <row r="222" spans="1:5" ht="12.75" hidden="1">
      <c r="A222" s="79" t="s">
        <v>34</v>
      </c>
      <c r="B222" s="80" t="s">
        <v>22</v>
      </c>
      <c r="C222" s="81">
        <f>+C151</f>
        <v>0</v>
      </c>
      <c r="D222" s="82">
        <f>D219/220*0.2</f>
        <v>2.478</v>
      </c>
      <c r="E222" s="82">
        <f>C222*D222</f>
        <v>0</v>
      </c>
    </row>
    <row r="223" spans="1:5" ht="12.75" hidden="1">
      <c r="A223" s="83" t="s">
        <v>25</v>
      </c>
      <c r="B223" s="84"/>
      <c r="C223" s="84"/>
      <c r="D223" s="85"/>
      <c r="E223" s="86">
        <f>SUM(E219:E222)</f>
        <v>0</v>
      </c>
    </row>
    <row r="224" spans="1:5" ht="12.75" hidden="1">
      <c r="A224" s="79" t="s">
        <v>26</v>
      </c>
      <c r="B224" s="80" t="s">
        <v>5</v>
      </c>
      <c r="C224" s="80">
        <f>+C212</f>
        <v>0</v>
      </c>
      <c r="D224" s="82">
        <f>E223</f>
        <v>0</v>
      </c>
      <c r="E224" s="82">
        <f>D224*C224/100</f>
        <v>0</v>
      </c>
    </row>
    <row r="225" spans="1:5" ht="12.75" hidden="1">
      <c r="A225" s="83" t="s">
        <v>51</v>
      </c>
      <c r="B225" s="84"/>
      <c r="C225" s="84"/>
      <c r="D225" s="85"/>
      <c r="E225" s="86">
        <f>E223+E224</f>
        <v>0</v>
      </c>
    </row>
    <row r="226" spans="1:5" ht="12.75" hidden="1">
      <c r="A226" s="79" t="s">
        <v>28</v>
      </c>
      <c r="B226" s="80" t="s">
        <v>29</v>
      </c>
      <c r="C226" s="80">
        <v>0</v>
      </c>
      <c r="D226" s="82">
        <f>E225</f>
        <v>0</v>
      </c>
      <c r="E226" s="82">
        <f>C226*D226</f>
        <v>0</v>
      </c>
    </row>
    <row r="227" ht="12.75" hidden="1">
      <c r="F227" s="91">
        <f>E226</f>
        <v>0</v>
      </c>
    </row>
    <row r="228" ht="11.25" customHeight="1" hidden="1"/>
    <row r="229" ht="12.75" hidden="1">
      <c r="A229" s="1" t="s">
        <v>53</v>
      </c>
    </row>
    <row r="230" spans="1:6" ht="12.75" hidden="1">
      <c r="A230" s="72" t="s">
        <v>14</v>
      </c>
      <c r="B230" s="73" t="s">
        <v>15</v>
      </c>
      <c r="C230" s="73" t="s">
        <v>9</v>
      </c>
      <c r="D230" s="74" t="s">
        <v>16</v>
      </c>
      <c r="E230" s="74" t="s">
        <v>17</v>
      </c>
      <c r="F230" s="75" t="s">
        <v>18</v>
      </c>
    </row>
    <row r="231" spans="1:5" ht="12.75" hidden="1">
      <c r="A231" s="76" t="s">
        <v>54</v>
      </c>
      <c r="B231" s="77" t="s">
        <v>55</v>
      </c>
      <c r="C231" s="96">
        <v>0</v>
      </c>
      <c r="D231" s="78">
        <f>+ROUND(D237/176*(1+C238/100),0)*80</f>
        <v>0</v>
      </c>
      <c r="E231" s="78">
        <f>C231*D231</f>
        <v>0</v>
      </c>
    </row>
    <row r="232" spans="1:5" ht="12.75" hidden="1">
      <c r="A232" s="79" t="s">
        <v>56</v>
      </c>
      <c r="B232" s="80" t="s">
        <v>55</v>
      </c>
      <c r="C232" s="97">
        <f>+C231</f>
        <v>0</v>
      </c>
      <c r="D232" s="82">
        <v>9813</v>
      </c>
      <c r="E232" s="78">
        <f>C232*D232</f>
        <v>0</v>
      </c>
    </row>
    <row r="233" ht="12.75" hidden="1">
      <c r="F233" s="91">
        <f>SUM(E231:E232)</f>
        <v>0</v>
      </c>
    </row>
    <row r="234" ht="11.25" customHeight="1" hidden="1"/>
    <row r="235" ht="12.75" hidden="1">
      <c r="A235" s="1" t="s">
        <v>57</v>
      </c>
    </row>
    <row r="236" spans="1:6" ht="12.75" hidden="1">
      <c r="A236" s="72" t="s">
        <v>14</v>
      </c>
      <c r="B236" s="73" t="s">
        <v>15</v>
      </c>
      <c r="C236" s="73" t="s">
        <v>9</v>
      </c>
      <c r="D236" s="74" t="s">
        <v>16</v>
      </c>
      <c r="E236" s="74" t="s">
        <v>17</v>
      </c>
      <c r="F236" s="75" t="s">
        <v>18</v>
      </c>
    </row>
    <row r="237" spans="1:5" ht="12.75" hidden="1">
      <c r="A237" s="76" t="s">
        <v>19</v>
      </c>
      <c r="B237" s="77" t="s">
        <v>20</v>
      </c>
      <c r="C237" s="77">
        <v>0</v>
      </c>
      <c r="D237" s="78">
        <v>0</v>
      </c>
      <c r="E237" s="78">
        <f>C237*D237</f>
        <v>0</v>
      </c>
    </row>
    <row r="238" spans="1:5" ht="12.75" hidden="1">
      <c r="A238" s="79" t="s">
        <v>26</v>
      </c>
      <c r="B238" s="80" t="s">
        <v>5</v>
      </c>
      <c r="C238" s="80">
        <v>97.09</v>
      </c>
      <c r="D238" s="82">
        <f>E237</f>
        <v>0</v>
      </c>
      <c r="E238" s="82">
        <f>C238*D238/100</f>
        <v>0</v>
      </c>
    </row>
    <row r="239" spans="1:5" ht="12.75" hidden="1">
      <c r="A239" s="79" t="s">
        <v>58</v>
      </c>
      <c r="B239" s="80" t="s">
        <v>29</v>
      </c>
      <c r="C239" s="80">
        <v>1</v>
      </c>
      <c r="D239" s="82">
        <f>E237+E238</f>
        <v>0</v>
      </c>
      <c r="E239" s="82">
        <f>C239*D239</f>
        <v>0</v>
      </c>
    </row>
    <row r="240" spans="1:5" ht="12.75" hidden="1">
      <c r="A240" s="66"/>
      <c r="B240" s="88"/>
      <c r="C240" s="88"/>
      <c r="D240" s="85"/>
      <c r="E240" s="85"/>
    </row>
    <row r="241" spans="1:5" ht="12.75" hidden="1">
      <c r="A241" s="79" t="s">
        <v>32</v>
      </c>
      <c r="B241" s="90">
        <v>5</v>
      </c>
      <c r="C241" s="90">
        <v>10</v>
      </c>
      <c r="D241" s="82">
        <f>E239/C241</f>
        <v>0</v>
      </c>
      <c r="E241" s="82">
        <f>D241*B241</f>
        <v>0</v>
      </c>
    </row>
    <row r="242" spans="1:6" ht="12.75" hidden="1">
      <c r="A242" s="79" t="s">
        <v>59</v>
      </c>
      <c r="B242" s="90">
        <v>0.15</v>
      </c>
      <c r="C242" s="90">
        <v>2</v>
      </c>
      <c r="D242" s="82">
        <f>E239/C242</f>
        <v>0</v>
      </c>
      <c r="E242" s="82">
        <f>D242*B242</f>
        <v>0</v>
      </c>
      <c r="F242" s="91">
        <f>E242+E241</f>
        <v>0</v>
      </c>
    </row>
    <row r="243" ht="11.25" customHeight="1" hidden="1"/>
    <row r="244" ht="12.75" hidden="1">
      <c r="A244" s="1" t="s">
        <v>60</v>
      </c>
    </row>
    <row r="245" spans="1:6" ht="12.75" hidden="1">
      <c r="A245" s="72" t="s">
        <v>14</v>
      </c>
      <c r="B245" s="73" t="s">
        <v>15</v>
      </c>
      <c r="C245" s="73" t="s">
        <v>9</v>
      </c>
      <c r="D245" s="74" t="s">
        <v>16</v>
      </c>
      <c r="E245" s="74" t="s">
        <v>17</v>
      </c>
      <c r="F245" s="75" t="s">
        <v>18</v>
      </c>
    </row>
    <row r="246" spans="1:5" ht="12.75" hidden="1">
      <c r="A246" s="79" t="s">
        <v>61</v>
      </c>
      <c r="B246" s="80" t="s">
        <v>62</v>
      </c>
      <c r="C246" s="98">
        <v>0</v>
      </c>
      <c r="D246" s="78">
        <f>((52*2.8)-(E58*0.06))/52</f>
        <v>0.8529076923076921</v>
      </c>
      <c r="E246" s="82">
        <f>C246*D246</f>
        <v>0</v>
      </c>
    </row>
    <row r="247" spans="1:5" ht="12.75" hidden="1">
      <c r="A247" s="76" t="s">
        <v>63</v>
      </c>
      <c r="B247" s="77" t="s">
        <v>62</v>
      </c>
      <c r="C247" s="99">
        <v>0</v>
      </c>
      <c r="D247" s="78">
        <f>((52*2.8)-(E96*0.06))/52</f>
        <v>0.7032307692307692</v>
      </c>
      <c r="E247" s="78">
        <f>C247*D247</f>
        <v>0</v>
      </c>
    </row>
    <row r="248" spans="1:5" ht="12.75" hidden="1">
      <c r="A248" s="79" t="s">
        <v>64</v>
      </c>
      <c r="B248" s="80" t="s">
        <v>62</v>
      </c>
      <c r="C248" s="98">
        <f>+(C142+C155)*52</f>
        <v>0</v>
      </c>
      <c r="D248" s="78">
        <f>((52*2.8)-(E135*0.06))/52</f>
        <v>2.8</v>
      </c>
      <c r="E248" s="82">
        <f>C248*D248</f>
        <v>0</v>
      </c>
    </row>
    <row r="249" spans="1:5" ht="12.75" hidden="1">
      <c r="A249" s="79" t="s">
        <v>65</v>
      </c>
      <c r="B249" s="80" t="s">
        <v>62</v>
      </c>
      <c r="C249" s="98">
        <f>(C190+C203)*52</f>
        <v>0</v>
      </c>
      <c r="D249" s="78">
        <f>((52*2.8)-(E183*0.06))/52</f>
        <v>2.8</v>
      </c>
      <c r="E249" s="82">
        <f>C249*D249</f>
        <v>0</v>
      </c>
    </row>
    <row r="250" spans="1:5" ht="12.75" hidden="1">
      <c r="A250" s="79" t="s">
        <v>66</v>
      </c>
      <c r="B250" s="80" t="s">
        <v>62</v>
      </c>
      <c r="C250" s="98">
        <v>0</v>
      </c>
      <c r="D250" s="78">
        <f>((52*2.8)-(E208*0.06))/52</f>
        <v>2.8</v>
      </c>
      <c r="E250" s="82">
        <f>C250*D250</f>
        <v>0</v>
      </c>
    </row>
    <row r="251" ht="12.75" hidden="1">
      <c r="F251" s="100">
        <f>SUM(E246:E250)</f>
        <v>0</v>
      </c>
    </row>
    <row r="252" ht="11.25" customHeight="1"/>
    <row r="253" spans="1:6" ht="12.75">
      <c r="A253" s="1" t="s">
        <v>67</v>
      </c>
      <c r="F253" s="50"/>
    </row>
    <row r="254" spans="1:6" ht="12.75">
      <c r="A254" s="72" t="s">
        <v>14</v>
      </c>
      <c r="B254" s="73" t="s">
        <v>15</v>
      </c>
      <c r="C254" s="73" t="s">
        <v>9</v>
      </c>
      <c r="D254" s="74" t="s">
        <v>16</v>
      </c>
      <c r="E254" s="74" t="s">
        <v>17</v>
      </c>
      <c r="F254" s="75" t="s">
        <v>18</v>
      </c>
    </row>
    <row r="255" spans="1:6" ht="12.75">
      <c r="A255" s="79" t="str">
        <f>+A246</f>
        <v>Coletor</v>
      </c>
      <c r="B255" s="80" t="s">
        <v>62</v>
      </c>
      <c r="C255" s="98">
        <f>C65*22</f>
        <v>66</v>
      </c>
      <c r="D255" s="101">
        <v>22</v>
      </c>
      <c r="E255" s="102">
        <f>C255*D255</f>
        <v>1452</v>
      </c>
      <c r="F255" s="50"/>
    </row>
    <row r="256" spans="1:6" ht="12.75">
      <c r="A256" s="79" t="str">
        <f>+A247</f>
        <v>Motorista</v>
      </c>
      <c r="B256" s="80" t="s">
        <v>68</v>
      </c>
      <c r="C256" s="98">
        <f>C103*22</f>
        <v>22</v>
      </c>
      <c r="D256" s="101">
        <v>22</v>
      </c>
      <c r="E256" s="102">
        <f>C256*D256</f>
        <v>484</v>
      </c>
      <c r="F256" s="50"/>
    </row>
    <row r="257" ht="12.75">
      <c r="F257" s="100">
        <f>SUM(E255:E256)</f>
        <v>1936</v>
      </c>
    </row>
    <row r="259" spans="1:6" ht="12.75">
      <c r="A259" s="103" t="s">
        <v>69</v>
      </c>
      <c r="B259" s="104"/>
      <c r="C259" s="104"/>
      <c r="D259" s="26"/>
      <c r="E259" s="105"/>
      <c r="F259" s="100">
        <f>SUM(F58:F257)</f>
        <v>20918.715466399997</v>
      </c>
    </row>
    <row r="261" ht="12.75">
      <c r="A261" s="71" t="s">
        <v>70</v>
      </c>
    </row>
    <row r="262" ht="11.25" customHeight="1"/>
    <row r="263" ht="13.5" customHeight="1">
      <c r="A263" s="1" t="s">
        <v>71</v>
      </c>
    </row>
    <row r="264" ht="11.25" customHeight="1"/>
    <row r="265" spans="1:6" ht="13.5" customHeight="1">
      <c r="A265" s="72" t="s">
        <v>14</v>
      </c>
      <c r="B265" s="73" t="s">
        <v>15</v>
      </c>
      <c r="C265" s="73" t="s">
        <v>72</v>
      </c>
      <c r="D265" s="74" t="s">
        <v>16</v>
      </c>
      <c r="E265" s="74" t="s">
        <v>17</v>
      </c>
      <c r="F265" s="75" t="s">
        <v>18</v>
      </c>
    </row>
    <row r="266" spans="1:5" ht="12.75">
      <c r="A266" s="76" t="s">
        <v>73</v>
      </c>
      <c r="B266" s="77" t="s">
        <v>68</v>
      </c>
      <c r="C266" s="106">
        <v>3</v>
      </c>
      <c r="D266" s="78">
        <v>80</v>
      </c>
      <c r="E266" s="78">
        <f aca="true" t="shared" si="1" ref="E266:E276">D266/C266</f>
        <v>26.666666666666668</v>
      </c>
    </row>
    <row r="267" spans="1:5" ht="12.75" customHeight="1">
      <c r="A267" s="79" t="s">
        <v>74</v>
      </c>
      <c r="B267" s="80" t="s">
        <v>68</v>
      </c>
      <c r="C267" s="106">
        <v>3</v>
      </c>
      <c r="D267" s="82">
        <v>70</v>
      </c>
      <c r="E267" s="78">
        <f t="shared" si="1"/>
        <v>23.333333333333332</v>
      </c>
    </row>
    <row r="268" spans="1:5" ht="12.75">
      <c r="A268" s="79" t="s">
        <v>75</v>
      </c>
      <c r="B268" s="80" t="s">
        <v>68</v>
      </c>
      <c r="C268" s="106">
        <v>0.5</v>
      </c>
      <c r="D268" s="82">
        <v>35</v>
      </c>
      <c r="E268" s="78">
        <f t="shared" si="1"/>
        <v>70</v>
      </c>
    </row>
    <row r="269" spans="1:5" ht="12.75" customHeight="1">
      <c r="A269" s="79" t="s">
        <v>76</v>
      </c>
      <c r="B269" s="80" t="s">
        <v>68</v>
      </c>
      <c r="C269" s="106">
        <v>3</v>
      </c>
      <c r="D269" s="82">
        <v>15</v>
      </c>
      <c r="E269" s="78">
        <f t="shared" si="1"/>
        <v>5</v>
      </c>
    </row>
    <row r="270" spans="1:5" ht="13.5" customHeight="1">
      <c r="A270" s="79" t="s">
        <v>77</v>
      </c>
      <c r="B270" s="80" t="s">
        <v>78</v>
      </c>
      <c r="C270" s="106">
        <v>2</v>
      </c>
      <c r="D270" s="82">
        <v>110</v>
      </c>
      <c r="E270" s="78">
        <f t="shared" si="1"/>
        <v>55</v>
      </c>
    </row>
    <row r="271" spans="1:5" ht="12.75" customHeight="1">
      <c r="A271" s="79" t="s">
        <v>79</v>
      </c>
      <c r="B271" s="80" t="s">
        <v>78</v>
      </c>
      <c r="C271" s="106">
        <v>1</v>
      </c>
      <c r="D271" s="82">
        <v>5</v>
      </c>
      <c r="E271" s="78">
        <f t="shared" si="1"/>
        <v>5</v>
      </c>
    </row>
    <row r="272" spans="1:5" ht="12.75">
      <c r="A272" s="79" t="s">
        <v>80</v>
      </c>
      <c r="B272" s="80" t="s">
        <v>68</v>
      </c>
      <c r="C272" s="106">
        <v>3</v>
      </c>
      <c r="D272" s="82">
        <v>23</v>
      </c>
      <c r="E272" s="78">
        <f t="shared" si="1"/>
        <v>7.666666666666667</v>
      </c>
    </row>
    <row r="273" spans="1:6" s="110" customFormat="1" ht="12.75">
      <c r="A273" s="107" t="s">
        <v>81</v>
      </c>
      <c r="B273" s="108" t="s">
        <v>68</v>
      </c>
      <c r="C273" s="106">
        <v>3</v>
      </c>
      <c r="D273" s="82">
        <v>28</v>
      </c>
      <c r="E273" s="78">
        <f t="shared" si="1"/>
        <v>9.333333333333334</v>
      </c>
      <c r="F273" s="109"/>
    </row>
    <row r="274" spans="1:5" ht="12.75">
      <c r="A274" s="79" t="s">
        <v>82</v>
      </c>
      <c r="B274" s="80" t="s">
        <v>78</v>
      </c>
      <c r="C274" s="106">
        <v>1</v>
      </c>
      <c r="D274" s="82">
        <v>14.5</v>
      </c>
      <c r="E274" s="78">
        <f t="shared" si="1"/>
        <v>14.5</v>
      </c>
    </row>
    <row r="275" spans="1:5" ht="12.75" customHeight="1">
      <c r="A275" s="79" t="s">
        <v>83</v>
      </c>
      <c r="B275" s="80" t="s">
        <v>84</v>
      </c>
      <c r="C275" s="106">
        <v>1</v>
      </c>
      <c r="D275" s="82">
        <v>8.5</v>
      </c>
      <c r="E275" s="78">
        <f t="shared" si="1"/>
        <v>8.5</v>
      </c>
    </row>
    <row r="276" spans="1:5" ht="12.75">
      <c r="A276" s="79" t="s">
        <v>85</v>
      </c>
      <c r="B276" s="80" t="s">
        <v>20</v>
      </c>
      <c r="C276" s="106">
        <v>1</v>
      </c>
      <c r="D276" s="82">
        <v>100</v>
      </c>
      <c r="E276" s="78">
        <f t="shared" si="1"/>
        <v>100</v>
      </c>
    </row>
    <row r="277" spans="1:5" ht="12.75">
      <c r="A277" s="79" t="s">
        <v>28</v>
      </c>
      <c r="B277" s="80" t="s">
        <v>29</v>
      </c>
      <c r="C277" s="106">
        <v>3</v>
      </c>
      <c r="D277" s="82">
        <f>+SUM(E266:E276)</f>
        <v>325</v>
      </c>
      <c r="E277" s="82">
        <f>C277*D277</f>
        <v>975</v>
      </c>
    </row>
    <row r="278" spans="1:5" ht="12.75">
      <c r="A278" s="66"/>
      <c r="B278" s="88"/>
      <c r="C278" s="111"/>
      <c r="D278" s="85"/>
      <c r="E278" s="85"/>
    </row>
    <row r="279" spans="1:5" ht="12.75">
      <c r="A279" s="79" t="s">
        <v>32</v>
      </c>
      <c r="B279" s="90">
        <v>10</v>
      </c>
      <c r="C279" s="90">
        <v>10</v>
      </c>
      <c r="D279" s="82">
        <f>E277/C279</f>
        <v>97.5</v>
      </c>
      <c r="E279" s="82">
        <f>D279*B279</f>
        <v>975</v>
      </c>
    </row>
    <row r="280" spans="1:5" ht="12.75">
      <c r="A280" s="79"/>
      <c r="B280" s="90"/>
      <c r="C280" s="90"/>
      <c r="D280" s="82"/>
      <c r="E280" s="82"/>
    </row>
    <row r="281" spans="1:5" ht="12.75">
      <c r="A281" s="66"/>
      <c r="B281" s="88"/>
      <c r="C281" s="89"/>
      <c r="D281" s="85"/>
      <c r="E281" s="85"/>
    </row>
    <row r="282" spans="1:6" ht="12.75">
      <c r="A282" s="185" t="s">
        <v>86</v>
      </c>
      <c r="B282" s="185"/>
      <c r="C282" s="185"/>
      <c r="D282" s="185"/>
      <c r="E282" s="185"/>
      <c r="F282" s="100">
        <f>E279</f>
        <v>975</v>
      </c>
    </row>
    <row r="283" ht="11.25" customHeight="1"/>
    <row r="284" ht="13.5" customHeight="1" hidden="1">
      <c r="A284" s="1" t="s">
        <v>87</v>
      </c>
    </row>
    <row r="285" ht="11.25" customHeight="1" hidden="1"/>
    <row r="286" spans="1:6" ht="12.75" hidden="1">
      <c r="A286" s="72" t="s">
        <v>14</v>
      </c>
      <c r="B286" s="73" t="s">
        <v>15</v>
      </c>
      <c r="C286" s="73" t="s">
        <v>9</v>
      </c>
      <c r="D286" s="74" t="s">
        <v>16</v>
      </c>
      <c r="E286" s="74" t="s">
        <v>17</v>
      </c>
      <c r="F286" s="75" t="s">
        <v>18</v>
      </c>
    </row>
    <row r="287" spans="1:5" ht="12.75" hidden="1">
      <c r="A287" s="76" t="s">
        <v>73</v>
      </c>
      <c r="B287" s="77" t="s">
        <v>68</v>
      </c>
      <c r="C287" s="112"/>
      <c r="D287" s="78">
        <f>+D266</f>
        <v>80</v>
      </c>
      <c r="E287" s="78">
        <f aca="true" t="shared" si="2" ref="E287:E294">C287*D287</f>
        <v>0</v>
      </c>
    </row>
    <row r="288" spans="1:5" ht="12.75" hidden="1">
      <c r="A288" s="79" t="s">
        <v>74</v>
      </c>
      <c r="B288" s="80" t="s">
        <v>68</v>
      </c>
      <c r="C288" s="112"/>
      <c r="D288" s="82">
        <f>+D267</f>
        <v>70</v>
      </c>
      <c r="E288" s="82">
        <f t="shared" si="2"/>
        <v>0</v>
      </c>
    </row>
    <row r="289" spans="1:5" ht="12.75" hidden="1">
      <c r="A289" s="79" t="s">
        <v>88</v>
      </c>
      <c r="B289" s="80" t="s">
        <v>68</v>
      </c>
      <c r="C289" s="112"/>
      <c r="D289" s="82">
        <f>+D268</f>
        <v>35</v>
      </c>
      <c r="E289" s="82">
        <f t="shared" si="2"/>
        <v>0</v>
      </c>
    </row>
    <row r="290" spans="1:5" ht="12.75" hidden="1">
      <c r="A290" s="79" t="s">
        <v>89</v>
      </c>
      <c r="B290" s="80" t="s">
        <v>78</v>
      </c>
      <c r="C290" s="112"/>
      <c r="D290" s="82">
        <f>+D270</f>
        <v>110</v>
      </c>
      <c r="E290" s="82">
        <f t="shared" si="2"/>
        <v>0</v>
      </c>
    </row>
    <row r="291" spans="1:5" ht="12.75" hidden="1">
      <c r="A291" s="79" t="s">
        <v>80</v>
      </c>
      <c r="B291" s="80" t="s">
        <v>68</v>
      </c>
      <c r="C291" s="112"/>
      <c r="D291" s="82">
        <f>+D272</f>
        <v>23</v>
      </c>
      <c r="E291" s="82">
        <f t="shared" si="2"/>
        <v>0</v>
      </c>
    </row>
    <row r="292" spans="1:5" ht="12.75" hidden="1">
      <c r="A292" s="79" t="s">
        <v>83</v>
      </c>
      <c r="B292" s="80" t="s">
        <v>84</v>
      </c>
      <c r="C292" s="92"/>
      <c r="D292" s="82">
        <f>+D275</f>
        <v>8.5</v>
      </c>
      <c r="E292" s="82">
        <f t="shared" si="2"/>
        <v>0</v>
      </c>
    </row>
    <row r="293" spans="1:5" ht="12.75" hidden="1">
      <c r="A293" s="79" t="s">
        <v>85</v>
      </c>
      <c r="B293" s="80" t="s">
        <v>20</v>
      </c>
      <c r="C293" s="92"/>
      <c r="D293" s="82">
        <v>42.84</v>
      </c>
      <c r="E293" s="82">
        <f t="shared" si="2"/>
        <v>0</v>
      </c>
    </row>
    <row r="294" spans="1:5" ht="12.75" hidden="1">
      <c r="A294" s="79" t="s">
        <v>28</v>
      </c>
      <c r="B294" s="80" t="s">
        <v>29</v>
      </c>
      <c r="C294" s="92"/>
      <c r="D294" s="82">
        <f>+SUM(E287:E293)</f>
        <v>0</v>
      </c>
      <c r="E294" s="82">
        <f t="shared" si="2"/>
        <v>0</v>
      </c>
    </row>
    <row r="295" ht="12.75" hidden="1">
      <c r="F295" s="100">
        <v>0</v>
      </c>
    </row>
    <row r="296" ht="11.25" customHeight="1"/>
    <row r="297" spans="1:6" ht="12.75">
      <c r="A297" s="103" t="s">
        <v>90</v>
      </c>
      <c r="B297" s="113"/>
      <c r="C297" s="113"/>
      <c r="D297" s="114"/>
      <c r="E297" s="115"/>
      <c r="F297" s="91">
        <f>+F282+F295</f>
        <v>975</v>
      </c>
    </row>
    <row r="298" ht="11.25" customHeight="1"/>
    <row r="299" ht="12.75">
      <c r="A299" s="71" t="s">
        <v>91</v>
      </c>
    </row>
    <row r="300" ht="11.25" customHeight="1"/>
    <row r="301" ht="12.75">
      <c r="A301" s="1" t="s">
        <v>92</v>
      </c>
    </row>
    <row r="302" ht="9" customHeight="1"/>
    <row r="303" ht="12.75">
      <c r="A303" s="1" t="s">
        <v>93</v>
      </c>
    </row>
    <row r="304" spans="1:6" ht="12.75">
      <c r="A304" s="72" t="s">
        <v>14</v>
      </c>
      <c r="B304" s="73" t="s">
        <v>15</v>
      </c>
      <c r="C304" s="73" t="s">
        <v>9</v>
      </c>
      <c r="D304" s="74" t="s">
        <v>16</v>
      </c>
      <c r="E304" s="74" t="s">
        <v>17</v>
      </c>
      <c r="F304" s="75" t="s">
        <v>18</v>
      </c>
    </row>
    <row r="305" spans="1:5" ht="12.75">
      <c r="A305" s="116" t="s">
        <v>94</v>
      </c>
      <c r="B305" s="77" t="s">
        <v>68</v>
      </c>
      <c r="C305" s="77">
        <v>1</v>
      </c>
      <c r="D305" s="117">
        <v>250000</v>
      </c>
      <c r="E305" s="78">
        <f>C305*D305</f>
        <v>250000</v>
      </c>
    </row>
    <row r="306" spans="1:5" ht="12.75">
      <c r="A306" s="79" t="s">
        <v>95</v>
      </c>
      <c r="B306" s="80" t="s">
        <v>68</v>
      </c>
      <c r="C306" s="80">
        <v>0</v>
      </c>
      <c r="D306" s="82">
        <v>120000</v>
      </c>
      <c r="E306" s="82">
        <f>C306*D306</f>
        <v>0</v>
      </c>
    </row>
    <row r="307" spans="1:5" ht="12.75">
      <c r="A307" s="79" t="s">
        <v>96</v>
      </c>
      <c r="B307" s="80" t="s">
        <v>5</v>
      </c>
      <c r="C307" s="80">
        <v>80</v>
      </c>
      <c r="D307" s="82">
        <f>E305</f>
        <v>250000</v>
      </c>
      <c r="E307" s="82">
        <f>C307*D307/100</f>
        <v>200000</v>
      </c>
    </row>
    <row r="308" spans="1:5" ht="12.75">
      <c r="A308" s="79" t="s">
        <v>97</v>
      </c>
      <c r="B308" s="80" t="s">
        <v>5</v>
      </c>
      <c r="C308" s="80">
        <v>90</v>
      </c>
      <c r="D308" s="82">
        <f>E306</f>
        <v>0</v>
      </c>
      <c r="E308" s="82">
        <f>C308*D308/100</f>
        <v>0</v>
      </c>
    </row>
    <row r="309" spans="1:5" ht="12.75">
      <c r="A309" s="79" t="s">
        <v>98</v>
      </c>
      <c r="B309" s="80" t="s">
        <v>20</v>
      </c>
      <c r="C309" s="80">
        <v>60</v>
      </c>
      <c r="D309" s="82">
        <f>E307+E308</f>
        <v>200000</v>
      </c>
      <c r="E309" s="82">
        <f>D309/C309</f>
        <v>3333.3333333333335</v>
      </c>
    </row>
    <row r="310" spans="1:5" ht="12.75">
      <c r="A310" s="62"/>
      <c r="B310" s="118"/>
      <c r="C310" s="118"/>
      <c r="D310" s="119"/>
      <c r="E310" s="85"/>
    </row>
    <row r="311" spans="1:5" ht="12.75">
      <c r="A311" s="120" t="s">
        <v>32</v>
      </c>
      <c r="B311" s="121">
        <v>4</v>
      </c>
      <c r="C311" s="121">
        <v>10</v>
      </c>
      <c r="D311" s="122">
        <f>E309/C311</f>
        <v>333.33333333333337</v>
      </c>
      <c r="E311" s="122">
        <f>D311*B311</f>
        <v>1333.3333333333335</v>
      </c>
    </row>
    <row r="312" spans="1:6" ht="12.75">
      <c r="A312" s="120"/>
      <c r="B312" s="121"/>
      <c r="C312" s="121"/>
      <c r="D312" s="122"/>
      <c r="E312" s="122">
        <f>D312*B312</f>
        <v>0</v>
      </c>
      <c r="F312" s="91">
        <f>E311+E312</f>
        <v>1333.3333333333335</v>
      </c>
    </row>
    <row r="313" spans="1:6" ht="12.75">
      <c r="A313" s="120"/>
      <c r="B313" s="121"/>
      <c r="C313" s="121"/>
      <c r="D313" s="122"/>
      <c r="E313" s="122"/>
      <c r="F313" s="91"/>
    </row>
    <row r="314" spans="1:5" ht="12.75">
      <c r="A314" s="116" t="s">
        <v>99</v>
      </c>
      <c r="B314" s="77" t="s">
        <v>68</v>
      </c>
      <c r="C314" s="77">
        <v>1</v>
      </c>
      <c r="D314" s="117">
        <v>250000</v>
      </c>
      <c r="E314" s="78">
        <f>C314*D314</f>
        <v>250000</v>
      </c>
    </row>
    <row r="315" spans="1:5" ht="12.75">
      <c r="A315" s="79" t="s">
        <v>100</v>
      </c>
      <c r="B315" s="80" t="s">
        <v>68</v>
      </c>
      <c r="C315" s="80">
        <v>0</v>
      </c>
      <c r="D315" s="82">
        <v>120000</v>
      </c>
      <c r="E315" s="82">
        <f>C315*D315</f>
        <v>0</v>
      </c>
    </row>
    <row r="316" spans="1:5" ht="12.75">
      <c r="A316" s="79" t="s">
        <v>96</v>
      </c>
      <c r="B316" s="80" t="s">
        <v>5</v>
      </c>
      <c r="C316" s="80">
        <v>80</v>
      </c>
      <c r="D316" s="82">
        <f>E314</f>
        <v>250000</v>
      </c>
      <c r="E316" s="82">
        <f>C316*D316/100</f>
        <v>200000</v>
      </c>
    </row>
    <row r="317" spans="1:5" ht="12.75">
      <c r="A317" s="79" t="s">
        <v>97</v>
      </c>
      <c r="B317" s="80" t="s">
        <v>5</v>
      </c>
      <c r="C317" s="80">
        <v>90</v>
      </c>
      <c r="D317" s="82">
        <f>E315</f>
        <v>0</v>
      </c>
      <c r="E317" s="82">
        <f>C317*D317/100</f>
        <v>0</v>
      </c>
    </row>
    <row r="318" spans="1:5" ht="12.75">
      <c r="A318" s="79" t="s">
        <v>98</v>
      </c>
      <c r="B318" s="80" t="s">
        <v>20</v>
      </c>
      <c r="C318" s="80">
        <v>60</v>
      </c>
      <c r="D318" s="82">
        <f>E316+E317</f>
        <v>200000</v>
      </c>
      <c r="E318" s="82">
        <f>D318/C318</f>
        <v>3333.3333333333335</v>
      </c>
    </row>
    <row r="319" spans="1:5" ht="12.75">
      <c r="A319" s="62"/>
      <c r="B319" s="118"/>
      <c r="C319" s="118"/>
      <c r="D319" s="119"/>
      <c r="E319" s="85"/>
    </row>
    <row r="320" spans="1:5" ht="12.75">
      <c r="A320" s="120" t="s">
        <v>32</v>
      </c>
      <c r="B320" s="121">
        <v>3</v>
      </c>
      <c r="C320" s="121">
        <v>10</v>
      </c>
      <c r="D320" s="122">
        <f>E318/C320</f>
        <v>333.33333333333337</v>
      </c>
      <c r="E320" s="122">
        <f>D320*B320</f>
        <v>1000.0000000000001</v>
      </c>
    </row>
    <row r="321" spans="1:6" ht="12.75">
      <c r="A321" s="120"/>
      <c r="B321" s="121"/>
      <c r="C321" s="121"/>
      <c r="D321" s="122"/>
      <c r="E321" s="122"/>
      <c r="F321" s="91">
        <f>E320+E321</f>
        <v>1000.0000000000001</v>
      </c>
    </row>
    <row r="322" spans="1:6" ht="12.75">
      <c r="A322" s="120"/>
      <c r="B322" s="121"/>
      <c r="C322" s="121"/>
      <c r="D322" s="122"/>
      <c r="E322" s="122"/>
      <c r="F322" s="91"/>
    </row>
    <row r="323" spans="1:5" ht="12.75">
      <c r="A323" s="116" t="s">
        <v>273</v>
      </c>
      <c r="B323" s="77" t="s">
        <v>68</v>
      </c>
      <c r="C323" s="77">
        <v>1</v>
      </c>
      <c r="D323" s="117">
        <v>250000</v>
      </c>
      <c r="E323" s="78">
        <f>C323*D323</f>
        <v>250000</v>
      </c>
    </row>
    <row r="324" spans="1:5" ht="12.75">
      <c r="A324" s="79" t="s">
        <v>100</v>
      </c>
      <c r="B324" s="80" t="s">
        <v>68</v>
      </c>
      <c r="C324" s="80">
        <v>0</v>
      </c>
      <c r="D324" s="82">
        <v>120000</v>
      </c>
      <c r="E324" s="82">
        <f>C324*D324</f>
        <v>0</v>
      </c>
    </row>
    <row r="325" spans="1:5" ht="12.75">
      <c r="A325" s="79" t="s">
        <v>96</v>
      </c>
      <c r="B325" s="80" t="s">
        <v>5</v>
      </c>
      <c r="C325" s="80">
        <v>80</v>
      </c>
      <c r="D325" s="82">
        <f>E323</f>
        <v>250000</v>
      </c>
      <c r="E325" s="82">
        <f>C325*D325/100</f>
        <v>200000</v>
      </c>
    </row>
    <row r="326" spans="1:5" ht="12.75">
      <c r="A326" s="79" t="s">
        <v>97</v>
      </c>
      <c r="B326" s="80" t="s">
        <v>5</v>
      </c>
      <c r="C326" s="80">
        <v>90</v>
      </c>
      <c r="D326" s="82">
        <f>E324</f>
        <v>0</v>
      </c>
      <c r="E326" s="82">
        <f>C326*D326/100</f>
        <v>0</v>
      </c>
    </row>
    <row r="327" spans="1:5" ht="12.75">
      <c r="A327" s="79" t="s">
        <v>98</v>
      </c>
      <c r="B327" s="80" t="s">
        <v>20</v>
      </c>
      <c r="C327" s="80">
        <v>60</v>
      </c>
      <c r="D327" s="82">
        <f>E325+E326</f>
        <v>200000</v>
      </c>
      <c r="E327" s="82">
        <f>D327/C327</f>
        <v>3333.3333333333335</v>
      </c>
    </row>
    <row r="328" spans="1:5" ht="12.75">
      <c r="A328" s="62"/>
      <c r="B328" s="118"/>
      <c r="C328" s="118"/>
      <c r="D328" s="119"/>
      <c r="E328" s="85"/>
    </row>
    <row r="329" spans="1:5" ht="12.75">
      <c r="A329" s="120" t="s">
        <v>32</v>
      </c>
      <c r="B329" s="121">
        <v>1</v>
      </c>
      <c r="C329" s="121">
        <v>12</v>
      </c>
      <c r="D329" s="122">
        <f>E327/C329</f>
        <v>277.77777777777777</v>
      </c>
      <c r="E329" s="122">
        <f>D329*B329</f>
        <v>277.77777777777777</v>
      </c>
    </row>
    <row r="330" spans="1:6" ht="12.75">
      <c r="A330" s="120"/>
      <c r="B330" s="121"/>
      <c r="C330" s="121"/>
      <c r="D330" s="122"/>
      <c r="E330" s="122"/>
      <c r="F330" s="91">
        <f>E329+E330</f>
        <v>277.77777777777777</v>
      </c>
    </row>
    <row r="331" ht="11.25" customHeight="1"/>
    <row r="332" ht="12.75">
      <c r="A332" s="1" t="s">
        <v>101</v>
      </c>
    </row>
    <row r="333" spans="1:6" ht="12.75">
      <c r="A333" s="72" t="s">
        <v>14</v>
      </c>
      <c r="B333" s="73" t="s">
        <v>15</v>
      </c>
      <c r="C333" s="73" t="s">
        <v>9</v>
      </c>
      <c r="D333" s="74" t="s">
        <v>16</v>
      </c>
      <c r="E333" s="74" t="s">
        <v>17</v>
      </c>
      <c r="F333" s="75" t="s">
        <v>18</v>
      </c>
    </row>
    <row r="334" spans="1:6" ht="12.75">
      <c r="A334" s="76" t="s">
        <v>102</v>
      </c>
      <c r="B334" s="77" t="s">
        <v>103</v>
      </c>
      <c r="C334" s="77">
        <v>1</v>
      </c>
      <c r="D334" s="78">
        <f>E311</f>
        <v>1333.3333333333335</v>
      </c>
      <c r="E334" s="78">
        <f>C334*D334</f>
        <v>1333.3333333333335</v>
      </c>
      <c r="F334" s="85"/>
    </row>
    <row r="335" spans="1:6" ht="12.75">
      <c r="A335" s="76" t="s">
        <v>104</v>
      </c>
      <c r="B335" s="77" t="s">
        <v>103</v>
      </c>
      <c r="C335" s="77">
        <v>1</v>
      </c>
      <c r="D335" s="78">
        <f>E320</f>
        <v>1000.0000000000001</v>
      </c>
      <c r="E335" s="78">
        <f>C335*D335</f>
        <v>1000.0000000000001</v>
      </c>
      <c r="F335" s="85"/>
    </row>
    <row r="336" spans="1:6" ht="12.75">
      <c r="A336" s="76" t="s">
        <v>277</v>
      </c>
      <c r="B336" s="77" t="s">
        <v>103</v>
      </c>
      <c r="C336" s="77">
        <v>1</v>
      </c>
      <c r="D336" s="78">
        <f>E329</f>
        <v>277.77777777777777</v>
      </c>
      <c r="E336" s="78">
        <f>C336*D336</f>
        <v>277.77777777777777</v>
      </c>
      <c r="F336" s="85"/>
    </row>
    <row r="337" spans="1:6" ht="12.75">
      <c r="A337" s="79" t="s">
        <v>105</v>
      </c>
      <c r="B337" s="80" t="s">
        <v>5</v>
      </c>
      <c r="C337" s="123">
        <v>0.1375</v>
      </c>
      <c r="D337" s="82"/>
      <c r="E337" s="82">
        <f>SUM(E334:E336)</f>
        <v>2611.1111111111113</v>
      </c>
      <c r="F337" s="85"/>
    </row>
    <row r="338" spans="1:6" ht="12.75">
      <c r="A338" s="66"/>
      <c r="B338" s="88"/>
      <c r="C338" s="88"/>
      <c r="D338" s="85"/>
      <c r="E338" s="85"/>
      <c r="F338" s="85"/>
    </row>
    <row r="339" spans="1:6" ht="12.75">
      <c r="A339" s="120" t="s">
        <v>106</v>
      </c>
      <c r="B339" s="121"/>
      <c r="C339" s="121"/>
      <c r="D339" s="122">
        <f>E337</f>
        <v>2611.1111111111113</v>
      </c>
      <c r="E339" s="122">
        <f>C337*D339</f>
        <v>359.0277777777778</v>
      </c>
      <c r="F339" s="85"/>
    </row>
    <row r="340" spans="1:6" ht="12.75">
      <c r="A340" s="120"/>
      <c r="B340" s="121"/>
      <c r="C340" s="121"/>
      <c r="D340" s="122"/>
      <c r="E340" s="122">
        <f>D340*B340</f>
        <v>0</v>
      </c>
      <c r="F340" s="91">
        <f>E340+E339</f>
        <v>359.0277777777778</v>
      </c>
    </row>
    <row r="341" ht="11.25" customHeight="1"/>
    <row r="342" ht="12.75">
      <c r="A342" s="1" t="s">
        <v>107</v>
      </c>
    </row>
    <row r="343" spans="1:6" ht="12.75">
      <c r="A343" s="72" t="s">
        <v>14</v>
      </c>
      <c r="B343" s="73" t="s">
        <v>15</v>
      </c>
      <c r="C343" s="73" t="s">
        <v>9</v>
      </c>
      <c r="D343" s="74" t="s">
        <v>16</v>
      </c>
      <c r="E343" s="74" t="s">
        <v>17</v>
      </c>
      <c r="F343" s="75" t="s">
        <v>18</v>
      </c>
    </row>
    <row r="344" spans="1:5" ht="12.75">
      <c r="A344" s="76" t="s">
        <v>108</v>
      </c>
      <c r="B344" s="77" t="s">
        <v>68</v>
      </c>
      <c r="C344" s="179">
        <f>B311/C311</f>
        <v>0.4</v>
      </c>
      <c r="D344" s="78">
        <f>(0.01*(D305))/C311*B311</f>
        <v>1000</v>
      </c>
      <c r="E344" s="78">
        <f>C344*D344</f>
        <v>400</v>
      </c>
    </row>
    <row r="345" spans="1:5" ht="12.75">
      <c r="A345" s="79" t="s">
        <v>109</v>
      </c>
      <c r="B345" s="80" t="s">
        <v>68</v>
      </c>
      <c r="C345" s="180">
        <f>C344</f>
        <v>0.4</v>
      </c>
      <c r="D345" s="124">
        <v>99.65</v>
      </c>
      <c r="E345" s="82">
        <f>C345*D345</f>
        <v>39.86000000000001</v>
      </c>
    </row>
    <row r="346" spans="1:6" ht="12.75">
      <c r="A346" s="79" t="s">
        <v>110</v>
      </c>
      <c r="B346" s="80" t="s">
        <v>68</v>
      </c>
      <c r="C346" s="180">
        <f>C344</f>
        <v>0.4</v>
      </c>
      <c r="D346" s="124">
        <v>1500</v>
      </c>
      <c r="E346" s="82">
        <f>C346*D346</f>
        <v>600</v>
      </c>
      <c r="F346" s="125"/>
    </row>
    <row r="347" spans="1:6" ht="12.75">
      <c r="A347" s="79"/>
      <c r="B347" s="80"/>
      <c r="C347" s="180"/>
      <c r="D347" s="124"/>
      <c r="E347" s="82"/>
      <c r="F347" s="125"/>
    </row>
    <row r="348" spans="1:5" ht="12.75">
      <c r="A348" s="76" t="s">
        <v>111</v>
      </c>
      <c r="B348" s="77" t="s">
        <v>68</v>
      </c>
      <c r="C348" s="179">
        <f>B320/C320</f>
        <v>0.3</v>
      </c>
      <c r="D348" s="78">
        <f>(D314*0.01)/C320*B320</f>
        <v>750</v>
      </c>
      <c r="E348" s="78">
        <f>C348*D348</f>
        <v>225</v>
      </c>
    </row>
    <row r="349" spans="1:5" ht="12.75">
      <c r="A349" s="79" t="s">
        <v>112</v>
      </c>
      <c r="B349" s="80" t="s">
        <v>68</v>
      </c>
      <c r="C349" s="180">
        <f>C348</f>
        <v>0.3</v>
      </c>
      <c r="D349" s="124">
        <v>99.65</v>
      </c>
      <c r="E349" s="82">
        <f>C349*D349</f>
        <v>29.895</v>
      </c>
    </row>
    <row r="350" spans="1:6" ht="12.75">
      <c r="A350" s="79" t="s">
        <v>113</v>
      </c>
      <c r="B350" s="80" t="s">
        <v>68</v>
      </c>
      <c r="C350" s="180">
        <f>C348</f>
        <v>0.3</v>
      </c>
      <c r="D350" s="124">
        <v>1500</v>
      </c>
      <c r="E350" s="82">
        <f>C350*D350</f>
        <v>450</v>
      </c>
      <c r="F350" s="125"/>
    </row>
    <row r="351" spans="1:6" ht="12.75">
      <c r="A351" s="79"/>
      <c r="B351" s="80"/>
      <c r="C351" s="180"/>
      <c r="D351" s="124"/>
      <c r="E351" s="82"/>
      <c r="F351" s="125"/>
    </row>
    <row r="352" spans="1:5" ht="12.75">
      <c r="A352" s="76" t="s">
        <v>274</v>
      </c>
      <c r="B352" s="77" t="s">
        <v>68</v>
      </c>
      <c r="C352" s="179">
        <f>B329/C329</f>
        <v>0.08333333333333333</v>
      </c>
      <c r="D352" s="78">
        <f>(D323*0.01)/C329*B329</f>
        <v>208.33333333333334</v>
      </c>
      <c r="E352" s="78">
        <f>C352*D352</f>
        <v>17.36111111111111</v>
      </c>
    </row>
    <row r="353" spans="1:5" ht="12.75">
      <c r="A353" s="79" t="s">
        <v>114</v>
      </c>
      <c r="B353" s="80" t="s">
        <v>68</v>
      </c>
      <c r="C353" s="180">
        <f>C352</f>
        <v>0.08333333333333333</v>
      </c>
      <c r="D353" s="124">
        <v>99.65</v>
      </c>
      <c r="E353" s="82">
        <f>C353*D353</f>
        <v>8.304166666666667</v>
      </c>
    </row>
    <row r="354" spans="1:6" ht="12.75">
      <c r="A354" s="79" t="s">
        <v>115</v>
      </c>
      <c r="B354" s="80" t="s">
        <v>68</v>
      </c>
      <c r="C354" s="180">
        <f>C353</f>
        <v>0.08333333333333333</v>
      </c>
      <c r="D354" s="124">
        <v>1500</v>
      </c>
      <c r="E354" s="82">
        <f>C354*D354</f>
        <v>125</v>
      </c>
      <c r="F354" s="125"/>
    </row>
    <row r="355" spans="1:6" ht="12.75">
      <c r="A355" s="79"/>
      <c r="B355" s="80"/>
      <c r="C355" s="80"/>
      <c r="D355" s="124"/>
      <c r="E355" s="82"/>
      <c r="F355" s="125"/>
    </row>
    <row r="356" spans="1:5" ht="12.75">
      <c r="A356" s="79" t="s">
        <v>116</v>
      </c>
      <c r="B356" s="80" t="s">
        <v>20</v>
      </c>
      <c r="C356" s="80">
        <v>12</v>
      </c>
      <c r="D356" s="82">
        <f>E344+E345+E346+E348+E349+E350+E352+E353+E354</f>
        <v>1895.4202777777778</v>
      </c>
      <c r="E356" s="82">
        <f>D356/C356</f>
        <v>157.9516898148148</v>
      </c>
    </row>
    <row r="357" spans="1:5" ht="12.75">
      <c r="A357" s="66"/>
      <c r="B357" s="88"/>
      <c r="C357" s="88"/>
      <c r="D357" s="85"/>
      <c r="E357" s="85"/>
    </row>
    <row r="358" spans="1:5" ht="12.75">
      <c r="A358" s="120"/>
      <c r="B358" s="121"/>
      <c r="C358" s="121"/>
      <c r="D358" s="122"/>
      <c r="E358" s="122">
        <f>E356</f>
        <v>157.9516898148148</v>
      </c>
    </row>
    <row r="359" spans="1:6" ht="12.75">
      <c r="A359" s="120"/>
      <c r="B359" s="121"/>
      <c r="C359" s="121"/>
      <c r="D359" s="122"/>
      <c r="E359" s="122"/>
      <c r="F359" s="91">
        <f>E359+E358</f>
        <v>157.9516898148148</v>
      </c>
    </row>
    <row r="360" ht="11.25" customHeight="1"/>
    <row r="361" spans="1:2" ht="12.75">
      <c r="A361" s="1" t="s">
        <v>117</v>
      </c>
      <c r="B361" s="126"/>
    </row>
    <row r="362" spans="1:6" ht="12.75">
      <c r="A362" s="72" t="s">
        <v>14</v>
      </c>
      <c r="B362" s="73" t="s">
        <v>15</v>
      </c>
      <c r="C362" s="73" t="s">
        <v>9</v>
      </c>
      <c r="D362" s="74" t="s">
        <v>16</v>
      </c>
      <c r="E362" s="74" t="s">
        <v>17</v>
      </c>
      <c r="F362" s="75" t="s">
        <v>18</v>
      </c>
    </row>
    <row r="363" spans="1:6" ht="12.75">
      <c r="A363" s="127" t="s">
        <v>94</v>
      </c>
      <c r="B363" s="128"/>
      <c r="C363" s="128"/>
      <c r="D363" s="129"/>
      <c r="E363" s="129"/>
      <c r="F363" s="130"/>
    </row>
    <row r="364" spans="1:5" ht="12.75">
      <c r="A364" s="76" t="s">
        <v>118</v>
      </c>
      <c r="B364" s="77" t="s">
        <v>119</v>
      </c>
      <c r="C364" s="131">
        <v>2</v>
      </c>
      <c r="D364" s="132">
        <v>5.89</v>
      </c>
      <c r="E364" s="78"/>
    </row>
    <row r="365" spans="1:5" ht="12.75">
      <c r="A365" s="79" t="s">
        <v>120</v>
      </c>
      <c r="B365" s="80" t="s">
        <v>121</v>
      </c>
      <c r="C365" s="133">
        <f>(43*22)/C311*B311</f>
        <v>378.4</v>
      </c>
      <c r="D365" s="117">
        <f>+D364/C364</f>
        <v>2.945</v>
      </c>
      <c r="E365" s="82">
        <f>C365*D365</f>
        <v>1114.388</v>
      </c>
    </row>
    <row r="366" spans="1:5" ht="12.75">
      <c r="A366" s="79" t="s">
        <v>122</v>
      </c>
      <c r="B366" s="80" t="s">
        <v>123</v>
      </c>
      <c r="C366" s="106">
        <v>6</v>
      </c>
      <c r="D366" s="82">
        <v>25</v>
      </c>
      <c r="E366" s="82"/>
    </row>
    <row r="367" spans="1:5" ht="12.75">
      <c r="A367" s="79" t="s">
        <v>124</v>
      </c>
      <c r="B367" s="80" t="s">
        <v>121</v>
      </c>
      <c r="C367" s="134">
        <f>C365</f>
        <v>378.4</v>
      </c>
      <c r="D367" s="82">
        <f>+C366*D366</f>
        <v>150</v>
      </c>
      <c r="E367" s="82">
        <f>C367*D367/1000</f>
        <v>56.76</v>
      </c>
    </row>
    <row r="368" spans="1:5" ht="12.75">
      <c r="A368" s="79" t="s">
        <v>125</v>
      </c>
      <c r="B368" s="80" t="s">
        <v>123</v>
      </c>
      <c r="C368" s="106">
        <v>0.85</v>
      </c>
      <c r="D368" s="82">
        <v>9.71</v>
      </c>
      <c r="E368" s="82"/>
    </row>
    <row r="369" spans="1:5" ht="12.75">
      <c r="A369" s="79" t="s">
        <v>126</v>
      </c>
      <c r="B369" s="80" t="s">
        <v>121</v>
      </c>
      <c r="C369" s="134">
        <f>C365</f>
        <v>378.4</v>
      </c>
      <c r="D369" s="82">
        <f>+C368*D368</f>
        <v>8.2535</v>
      </c>
      <c r="E369" s="82">
        <f>C369*D369/1000</f>
        <v>3.1231244</v>
      </c>
    </row>
    <row r="370" spans="1:5" ht="12.75">
      <c r="A370" s="79" t="s">
        <v>127</v>
      </c>
      <c r="B370" s="80" t="s">
        <v>123</v>
      </c>
      <c r="C370" s="106">
        <v>5</v>
      </c>
      <c r="D370" s="82">
        <v>6.69</v>
      </c>
      <c r="E370" s="82"/>
    </row>
    <row r="371" spans="1:5" ht="12.75">
      <c r="A371" s="79" t="s">
        <v>128</v>
      </c>
      <c r="B371" s="80" t="s">
        <v>121</v>
      </c>
      <c r="C371" s="134">
        <f>C365</f>
        <v>378.4</v>
      </c>
      <c r="D371" s="82">
        <f>+C370*D370</f>
        <v>33.45</v>
      </c>
      <c r="E371" s="82">
        <f>C371*D371/1000</f>
        <v>12.65748</v>
      </c>
    </row>
    <row r="372" spans="1:5" ht="12.75">
      <c r="A372" s="79" t="s">
        <v>129</v>
      </c>
      <c r="B372" s="80" t="s">
        <v>130</v>
      </c>
      <c r="C372" s="80">
        <v>2</v>
      </c>
      <c r="D372" s="82">
        <v>7.72</v>
      </c>
      <c r="E372" s="82"/>
    </row>
    <row r="373" spans="1:5" ht="12.75">
      <c r="A373" s="79" t="s">
        <v>131</v>
      </c>
      <c r="B373" s="80" t="s">
        <v>121</v>
      </c>
      <c r="C373" s="134">
        <f>C365</f>
        <v>378.4</v>
      </c>
      <c r="D373" s="82">
        <f>+C372*D372</f>
        <v>15.44</v>
      </c>
      <c r="E373" s="82">
        <f>C373*D373/1000</f>
        <v>5.842495999999999</v>
      </c>
    </row>
    <row r="374" spans="1:5" ht="12.75">
      <c r="A374" s="79"/>
      <c r="B374" s="80"/>
      <c r="C374" s="134"/>
      <c r="D374" s="82"/>
      <c r="E374" s="82"/>
    </row>
    <row r="375" spans="1:5" ht="12.75">
      <c r="A375" s="127" t="s">
        <v>99</v>
      </c>
      <c r="B375" s="128"/>
      <c r="C375" s="128"/>
      <c r="D375" s="129"/>
      <c r="E375" s="129"/>
    </row>
    <row r="376" spans="1:5" ht="12.75">
      <c r="A376" s="76" t="s">
        <v>118</v>
      </c>
      <c r="B376" s="77" t="s">
        <v>119</v>
      </c>
      <c r="C376" s="131">
        <v>2</v>
      </c>
      <c r="D376" s="132">
        <f>D364</f>
        <v>5.89</v>
      </c>
      <c r="E376" s="78"/>
    </row>
    <row r="377" spans="1:5" ht="12.75">
      <c r="A377" s="79" t="s">
        <v>120</v>
      </c>
      <c r="B377" s="80" t="s">
        <v>121</v>
      </c>
      <c r="C377" s="133">
        <f>(43*22)/C320*B320</f>
        <v>283.79999999999995</v>
      </c>
      <c r="D377" s="117">
        <f>+D376/C376</f>
        <v>2.945</v>
      </c>
      <c r="E377" s="82">
        <f>C377*D377</f>
        <v>835.7909999999998</v>
      </c>
    </row>
    <row r="378" spans="1:5" ht="12.75">
      <c r="A378" s="79" t="s">
        <v>122</v>
      </c>
      <c r="B378" s="80" t="s">
        <v>123</v>
      </c>
      <c r="C378" s="106">
        <v>6</v>
      </c>
      <c r="D378" s="82">
        <f>D366</f>
        <v>25</v>
      </c>
      <c r="E378" s="82"/>
    </row>
    <row r="379" spans="1:5" ht="12.75">
      <c r="A379" s="79" t="s">
        <v>124</v>
      </c>
      <c r="B379" s="80" t="s">
        <v>121</v>
      </c>
      <c r="C379" s="134">
        <f>C377</f>
        <v>283.79999999999995</v>
      </c>
      <c r="D379" s="82">
        <f>+C378*D378</f>
        <v>150</v>
      </c>
      <c r="E379" s="82">
        <f>C379*D379/1000</f>
        <v>42.56999999999999</v>
      </c>
    </row>
    <row r="380" spans="1:5" ht="12.75">
      <c r="A380" s="79" t="s">
        <v>125</v>
      </c>
      <c r="B380" s="80" t="s">
        <v>123</v>
      </c>
      <c r="C380" s="106">
        <v>0.85</v>
      </c>
      <c r="D380" s="82">
        <v>9.71</v>
      </c>
      <c r="E380" s="82"/>
    </row>
    <row r="381" spans="1:5" ht="12.75">
      <c r="A381" s="79" t="s">
        <v>126</v>
      </c>
      <c r="B381" s="80" t="s">
        <v>121</v>
      </c>
      <c r="C381" s="134">
        <f>C377</f>
        <v>283.79999999999995</v>
      </c>
      <c r="D381" s="82">
        <f>+C380*D380</f>
        <v>8.2535</v>
      </c>
      <c r="E381" s="82">
        <f>C381*D381/1000</f>
        <v>2.3423433</v>
      </c>
    </row>
    <row r="382" spans="1:5" ht="12.75">
      <c r="A382" s="79" t="s">
        <v>127</v>
      </c>
      <c r="B382" s="80" t="s">
        <v>123</v>
      </c>
      <c r="C382" s="106">
        <v>5</v>
      </c>
      <c r="D382" s="82">
        <v>6.69</v>
      </c>
      <c r="E382" s="82"/>
    </row>
    <row r="383" spans="1:5" ht="12.75">
      <c r="A383" s="79" t="s">
        <v>128</v>
      </c>
      <c r="B383" s="80" t="s">
        <v>121</v>
      </c>
      <c r="C383" s="134">
        <f>C377</f>
        <v>283.79999999999995</v>
      </c>
      <c r="D383" s="82">
        <f>+C382*D382</f>
        <v>33.45</v>
      </c>
      <c r="E383" s="82">
        <f>C383*D383/1000</f>
        <v>9.493109999999998</v>
      </c>
    </row>
    <row r="384" spans="1:5" ht="12.75">
      <c r="A384" s="79" t="s">
        <v>129</v>
      </c>
      <c r="B384" s="80" t="s">
        <v>130</v>
      </c>
      <c r="C384" s="80">
        <v>2</v>
      </c>
      <c r="D384" s="82">
        <v>7.72</v>
      </c>
      <c r="E384" s="82"/>
    </row>
    <row r="385" spans="1:5" ht="12.75">
      <c r="A385" s="79" t="s">
        <v>131</v>
      </c>
      <c r="B385" s="80" t="s">
        <v>121</v>
      </c>
      <c r="C385" s="134">
        <f>C377</f>
        <v>283.79999999999995</v>
      </c>
      <c r="D385" s="82">
        <f>+C384*D384</f>
        <v>15.44</v>
      </c>
      <c r="E385" s="82">
        <f>C385*D385/1000</f>
        <v>4.3818719999999995</v>
      </c>
    </row>
    <row r="386" spans="1:5" ht="12.75">
      <c r="A386" s="79"/>
      <c r="B386" s="80"/>
      <c r="C386" s="134"/>
      <c r="D386" s="82"/>
      <c r="E386" s="82"/>
    </row>
    <row r="387" spans="1:5" ht="12.75">
      <c r="A387" s="127" t="s">
        <v>275</v>
      </c>
      <c r="B387" s="128"/>
      <c r="C387" s="128"/>
      <c r="D387" s="129"/>
      <c r="E387" s="129"/>
    </row>
    <row r="388" spans="1:5" ht="12.75">
      <c r="A388" s="76" t="s">
        <v>118</v>
      </c>
      <c r="B388" s="77" t="s">
        <v>119</v>
      </c>
      <c r="C388" s="131">
        <v>2</v>
      </c>
      <c r="D388" s="132">
        <f>D364</f>
        <v>5.89</v>
      </c>
      <c r="E388" s="78"/>
    </row>
    <row r="389" spans="1:5" ht="12.75">
      <c r="A389" s="79" t="s">
        <v>120</v>
      </c>
      <c r="B389" s="80" t="s">
        <v>121</v>
      </c>
      <c r="C389" s="133">
        <f>(43*22)/C329*B329</f>
        <v>78.83333333333333</v>
      </c>
      <c r="D389" s="117">
        <f>+D388/C388</f>
        <v>2.945</v>
      </c>
      <c r="E389" s="82">
        <f>C389*D389</f>
        <v>232.16416666666663</v>
      </c>
    </row>
    <row r="390" spans="1:5" ht="12.75">
      <c r="A390" s="79" t="s">
        <v>122</v>
      </c>
      <c r="B390" s="80" t="s">
        <v>123</v>
      </c>
      <c r="C390" s="106">
        <v>6</v>
      </c>
      <c r="D390" s="82">
        <f>D366</f>
        <v>25</v>
      </c>
      <c r="E390" s="82"/>
    </row>
    <row r="391" spans="1:5" ht="12.75">
      <c r="A391" s="79" t="s">
        <v>124</v>
      </c>
      <c r="B391" s="80" t="s">
        <v>121</v>
      </c>
      <c r="C391" s="134">
        <f>C389</f>
        <v>78.83333333333333</v>
      </c>
      <c r="D391" s="82">
        <f>+C390*D390</f>
        <v>150</v>
      </c>
      <c r="E391" s="82">
        <f>C391*D391/1000</f>
        <v>11.825</v>
      </c>
    </row>
    <row r="392" spans="1:5" ht="12.75">
      <c r="A392" s="79" t="s">
        <v>125</v>
      </c>
      <c r="B392" s="80" t="s">
        <v>123</v>
      </c>
      <c r="C392" s="106">
        <v>0.85</v>
      </c>
      <c r="D392" s="82">
        <v>9.71</v>
      </c>
      <c r="E392" s="82"/>
    </row>
    <row r="393" spans="1:5" ht="12.75">
      <c r="A393" s="79" t="s">
        <v>126</v>
      </c>
      <c r="B393" s="80" t="s">
        <v>121</v>
      </c>
      <c r="C393" s="134">
        <f>C389</f>
        <v>78.83333333333333</v>
      </c>
      <c r="D393" s="82">
        <f>+C392*D392</f>
        <v>8.2535</v>
      </c>
      <c r="E393" s="82">
        <f>C393*D393/1000</f>
        <v>0.6506509166666667</v>
      </c>
    </row>
    <row r="394" spans="1:5" ht="12.75">
      <c r="A394" s="79" t="s">
        <v>127</v>
      </c>
      <c r="B394" s="80" t="s">
        <v>123</v>
      </c>
      <c r="C394" s="106">
        <v>5</v>
      </c>
      <c r="D394" s="82">
        <v>6.69</v>
      </c>
      <c r="E394" s="82"/>
    </row>
    <row r="395" spans="1:5" ht="12.75">
      <c r="A395" s="79" t="s">
        <v>128</v>
      </c>
      <c r="B395" s="80" t="s">
        <v>121</v>
      </c>
      <c r="C395" s="134">
        <f>C389</f>
        <v>78.83333333333333</v>
      </c>
      <c r="D395" s="82">
        <f>+C394*D394</f>
        <v>33.45</v>
      </c>
      <c r="E395" s="82">
        <f>C395*D395/1000</f>
        <v>2.636975</v>
      </c>
    </row>
    <row r="396" spans="1:5" ht="12.75">
      <c r="A396" s="79" t="s">
        <v>129</v>
      </c>
      <c r="B396" s="80" t="s">
        <v>130</v>
      </c>
      <c r="C396" s="80">
        <v>2</v>
      </c>
      <c r="D396" s="82">
        <v>7.72</v>
      </c>
      <c r="E396" s="82"/>
    </row>
    <row r="397" spans="1:5" ht="12.75">
      <c r="A397" s="79" t="s">
        <v>131</v>
      </c>
      <c r="B397" s="80" t="s">
        <v>121</v>
      </c>
      <c r="C397" s="134">
        <f>C389</f>
        <v>78.83333333333333</v>
      </c>
      <c r="D397" s="82">
        <f>+C396*D396</f>
        <v>15.44</v>
      </c>
      <c r="E397" s="82">
        <f>C397*D397/1000</f>
        <v>1.2171866666666664</v>
      </c>
    </row>
    <row r="398" spans="1:5" ht="12.75">
      <c r="A398" s="79"/>
      <c r="B398" s="80"/>
      <c r="C398" s="134"/>
      <c r="D398" s="82"/>
      <c r="E398" s="82"/>
    </row>
    <row r="399" ht="12.75">
      <c r="F399" s="91">
        <f>E365+E367+E369+E371+E373+E377+E379+E381+E383+E385+E389+E391+E393+E395+E397</f>
        <v>2335.8434049499992</v>
      </c>
    </row>
    <row r="400" ht="11.25" customHeight="1"/>
    <row r="401" ht="12.75">
      <c r="A401" s="1" t="s">
        <v>132</v>
      </c>
    </row>
    <row r="402" spans="1:6" ht="12.75">
      <c r="A402" s="72" t="s">
        <v>14</v>
      </c>
      <c r="B402" s="73" t="s">
        <v>15</v>
      </c>
      <c r="C402" s="73" t="s">
        <v>9</v>
      </c>
      <c r="D402" s="74" t="s">
        <v>16</v>
      </c>
      <c r="E402" s="74" t="s">
        <v>17</v>
      </c>
      <c r="F402" s="75" t="s">
        <v>18</v>
      </c>
    </row>
    <row r="403" spans="1:5" ht="12.75">
      <c r="A403" s="76" t="s">
        <v>133</v>
      </c>
      <c r="B403" s="77" t="s">
        <v>68</v>
      </c>
      <c r="C403" s="77">
        <f>C305</f>
        <v>1</v>
      </c>
      <c r="D403" s="78">
        <f>D305+D314</f>
        <v>500000</v>
      </c>
      <c r="E403" s="78">
        <f>C403*D403</f>
        <v>500000</v>
      </c>
    </row>
    <row r="404" spans="1:5" ht="12.75">
      <c r="A404" s="79" t="s">
        <v>100</v>
      </c>
      <c r="B404" s="80" t="s">
        <v>68</v>
      </c>
      <c r="C404" s="80">
        <f>C306</f>
        <v>0</v>
      </c>
      <c r="D404" s="82">
        <f>D306+D315</f>
        <v>240000</v>
      </c>
      <c r="E404" s="82">
        <f>C404*D404</f>
        <v>0</v>
      </c>
    </row>
    <row r="405" spans="1:5" ht="12.75">
      <c r="A405" s="79" t="s">
        <v>134</v>
      </c>
      <c r="B405" s="80" t="s">
        <v>5</v>
      </c>
      <c r="C405" s="87">
        <v>25</v>
      </c>
      <c r="D405" s="82">
        <f>E403+E404</f>
        <v>500000</v>
      </c>
      <c r="E405" s="82">
        <f>C405*D405/100</f>
        <v>125000</v>
      </c>
    </row>
    <row r="406" spans="1:5" ht="12.75">
      <c r="A406" s="79" t="s">
        <v>135</v>
      </c>
      <c r="B406" s="80" t="s">
        <v>20</v>
      </c>
      <c r="C406" s="80">
        <v>60</v>
      </c>
      <c r="D406" s="82">
        <f>E405</f>
        <v>125000</v>
      </c>
      <c r="E406" s="82">
        <f>D406/C406</f>
        <v>2083.3333333333335</v>
      </c>
    </row>
    <row r="407" spans="1:5" ht="12.75">
      <c r="A407" s="66"/>
      <c r="B407" s="88"/>
      <c r="C407" s="88"/>
      <c r="D407" s="85"/>
      <c r="E407" s="85"/>
    </row>
    <row r="408" spans="1:5" ht="12.75">
      <c r="A408" s="120" t="s">
        <v>136</v>
      </c>
      <c r="B408" s="121">
        <v>10</v>
      </c>
      <c r="C408" s="121">
        <v>10</v>
      </c>
      <c r="D408" s="122">
        <f>E406/C408</f>
        <v>208.33333333333334</v>
      </c>
      <c r="E408" s="122">
        <f>D408*B408</f>
        <v>2083.3333333333335</v>
      </c>
    </row>
    <row r="409" spans="1:6" ht="12.75">
      <c r="A409" s="120"/>
      <c r="B409" s="121"/>
      <c r="C409" s="121"/>
      <c r="D409" s="122"/>
      <c r="E409" s="122">
        <f>D409*B409</f>
        <v>0</v>
      </c>
      <c r="F409" s="91">
        <f>E409+E408</f>
        <v>2083.3333333333335</v>
      </c>
    </row>
    <row r="410" ht="11.25" customHeight="1"/>
    <row r="411" ht="12.75">
      <c r="A411" s="1" t="s">
        <v>137</v>
      </c>
    </row>
    <row r="412" spans="1:6" ht="12.75">
      <c r="A412" s="72" t="s">
        <v>14</v>
      </c>
      <c r="B412" s="73" t="s">
        <v>15</v>
      </c>
      <c r="C412" s="73" t="s">
        <v>9</v>
      </c>
      <c r="D412" s="74" t="s">
        <v>16</v>
      </c>
      <c r="E412" s="74" t="s">
        <v>17</v>
      </c>
      <c r="F412" s="75" t="s">
        <v>18</v>
      </c>
    </row>
    <row r="413" spans="1:6" ht="12.75">
      <c r="A413" s="127" t="s">
        <v>94</v>
      </c>
      <c r="B413" s="128"/>
      <c r="C413" s="128"/>
      <c r="D413" s="129"/>
      <c r="E413" s="129"/>
      <c r="F413" s="130"/>
    </row>
    <row r="414" spans="1:5" ht="12.75">
      <c r="A414" s="76" t="s">
        <v>138</v>
      </c>
      <c r="B414" s="77" t="s">
        <v>68</v>
      </c>
      <c r="C414" s="135">
        <v>6</v>
      </c>
      <c r="D414" s="78">
        <v>1700</v>
      </c>
      <c r="E414" s="78">
        <f>C414*D414</f>
        <v>10200</v>
      </c>
    </row>
    <row r="415" spans="1:5" ht="12.75">
      <c r="A415" s="76" t="s">
        <v>139</v>
      </c>
      <c r="B415" s="77" t="s">
        <v>68</v>
      </c>
      <c r="C415" s="77">
        <f>C414</f>
        <v>6</v>
      </c>
      <c r="D415" s="78">
        <f>+ROUND(D414*0.3,0)</f>
        <v>510</v>
      </c>
      <c r="E415" s="78">
        <f>C415*D415</f>
        <v>3060</v>
      </c>
    </row>
    <row r="416" spans="1:5" ht="12.75">
      <c r="A416" s="79" t="s">
        <v>140</v>
      </c>
      <c r="B416" s="80" t="s">
        <v>141</v>
      </c>
      <c r="C416" s="134">
        <v>70000</v>
      </c>
      <c r="D416" s="82">
        <f>E414+E415</f>
        <v>13260</v>
      </c>
      <c r="E416" s="82">
        <f>D416/C416</f>
        <v>0.18942857142857142</v>
      </c>
    </row>
    <row r="417" spans="1:5" ht="12.75">
      <c r="A417" s="79" t="s">
        <v>142</v>
      </c>
      <c r="B417" s="80" t="s">
        <v>121</v>
      </c>
      <c r="C417" s="134">
        <f>C365</f>
        <v>378.4</v>
      </c>
      <c r="D417" s="82">
        <f>E416</f>
        <v>0.18942857142857142</v>
      </c>
      <c r="E417" s="82">
        <f>C417*D417</f>
        <v>71.67977142857141</v>
      </c>
    </row>
    <row r="418" spans="1:5" ht="12.75">
      <c r="A418" s="79"/>
      <c r="B418" s="80"/>
      <c r="C418" s="134"/>
      <c r="D418" s="82"/>
      <c r="E418" s="82"/>
    </row>
    <row r="419" spans="1:5" ht="12.75">
      <c r="A419" s="127" t="s">
        <v>99</v>
      </c>
      <c r="B419" s="128"/>
      <c r="C419" s="128"/>
      <c r="D419" s="129"/>
      <c r="E419" s="129"/>
    </row>
    <row r="420" spans="1:5" ht="12.75">
      <c r="A420" s="76" t="s">
        <v>138</v>
      </c>
      <c r="B420" s="77" t="s">
        <v>68</v>
      </c>
      <c r="C420" s="135">
        <v>6</v>
      </c>
      <c r="D420" s="78">
        <f>D414</f>
        <v>1700</v>
      </c>
      <c r="E420" s="78">
        <f>C420*D420</f>
        <v>10200</v>
      </c>
    </row>
    <row r="421" spans="1:5" ht="12.75">
      <c r="A421" s="76" t="s">
        <v>139</v>
      </c>
      <c r="B421" s="77" t="s">
        <v>68</v>
      </c>
      <c r="C421" s="77">
        <f>C420</f>
        <v>6</v>
      </c>
      <c r="D421" s="78">
        <f>+ROUND(D420*0.3,0)</f>
        <v>510</v>
      </c>
      <c r="E421" s="78">
        <f>C421*D421</f>
        <v>3060</v>
      </c>
    </row>
    <row r="422" spans="1:5" ht="12.75">
      <c r="A422" s="79" t="s">
        <v>140</v>
      </c>
      <c r="B422" s="80" t="s">
        <v>141</v>
      </c>
      <c r="C422" s="134">
        <v>70000</v>
      </c>
      <c r="D422" s="82">
        <f>E420+E421</f>
        <v>13260</v>
      </c>
      <c r="E422" s="82">
        <f>D422/C422</f>
        <v>0.18942857142857142</v>
      </c>
    </row>
    <row r="423" spans="1:5" ht="12.75">
      <c r="A423" s="79" t="s">
        <v>142</v>
      </c>
      <c r="B423" s="80" t="s">
        <v>121</v>
      </c>
      <c r="C423" s="134">
        <f>C385</f>
        <v>283.79999999999995</v>
      </c>
      <c r="D423" s="82">
        <f>E422</f>
        <v>0.18942857142857142</v>
      </c>
      <c r="E423" s="82">
        <f>C423*D423</f>
        <v>53.75982857142856</v>
      </c>
    </row>
    <row r="424" spans="1:5" ht="12.75">
      <c r="A424" s="79"/>
      <c r="B424" s="80"/>
      <c r="C424" s="134"/>
      <c r="D424" s="82"/>
      <c r="E424" s="82"/>
    </row>
    <row r="425" spans="1:5" ht="12.75">
      <c r="A425" s="127" t="s">
        <v>276</v>
      </c>
      <c r="B425" s="128"/>
      <c r="C425" s="128"/>
      <c r="D425" s="129"/>
      <c r="E425" s="129"/>
    </row>
    <row r="426" spans="1:5" ht="12.75">
      <c r="A426" s="76" t="s">
        <v>138</v>
      </c>
      <c r="B426" s="77" t="s">
        <v>68</v>
      </c>
      <c r="C426" s="135">
        <v>6</v>
      </c>
      <c r="D426" s="78">
        <f>D414</f>
        <v>1700</v>
      </c>
      <c r="E426" s="78">
        <f>C426*D426</f>
        <v>10200</v>
      </c>
    </row>
    <row r="427" spans="1:5" ht="12.75">
      <c r="A427" s="76" t="s">
        <v>139</v>
      </c>
      <c r="B427" s="77" t="s">
        <v>68</v>
      </c>
      <c r="C427" s="77">
        <f>C426</f>
        <v>6</v>
      </c>
      <c r="D427" s="78">
        <f>+ROUND(D426*0.3,0)</f>
        <v>510</v>
      </c>
      <c r="E427" s="78">
        <f>C427*D427</f>
        <v>3060</v>
      </c>
    </row>
    <row r="428" spans="1:5" ht="12.75">
      <c r="A428" s="79" t="s">
        <v>140</v>
      </c>
      <c r="B428" s="80" t="s">
        <v>141</v>
      </c>
      <c r="C428" s="134">
        <v>70000</v>
      </c>
      <c r="D428" s="82">
        <f>E426+E427</f>
        <v>13260</v>
      </c>
      <c r="E428" s="82">
        <f>D428/C428</f>
        <v>0.18942857142857142</v>
      </c>
    </row>
    <row r="429" spans="1:5" ht="12.75">
      <c r="A429" s="79" t="s">
        <v>142</v>
      </c>
      <c r="B429" s="80" t="s">
        <v>121</v>
      </c>
      <c r="C429" s="134">
        <f>C389</f>
        <v>78.83333333333333</v>
      </c>
      <c r="D429" s="82">
        <f>E428</f>
        <v>0.18942857142857142</v>
      </c>
      <c r="E429" s="82">
        <f>C429*D429</f>
        <v>14.933285714285713</v>
      </c>
    </row>
    <row r="430" ht="12.75">
      <c r="F430" s="91">
        <f>E417+E423+E429</f>
        <v>140.37288571428567</v>
      </c>
    </row>
    <row r="431" ht="11.25" customHeight="1"/>
    <row r="432" spans="1:6" ht="12.75">
      <c r="A432" s="136" t="s">
        <v>143</v>
      </c>
      <c r="B432" s="181">
        <f>F430+F409+F399+F359+F340+F312</f>
        <v>6409.862424923545</v>
      </c>
      <c r="C432" s="181"/>
      <c r="F432" s="125"/>
    </row>
    <row r="433" ht="11.25" customHeight="1"/>
    <row r="434" ht="12.75" hidden="1">
      <c r="A434" s="1" t="s">
        <v>144</v>
      </c>
    </row>
    <row r="435" ht="11.25" customHeight="1" hidden="1"/>
    <row r="436" ht="12.75" hidden="1">
      <c r="A436" s="1" t="s">
        <v>145</v>
      </c>
    </row>
    <row r="437" spans="1:6" ht="12.75" hidden="1">
      <c r="A437" s="72" t="s">
        <v>14</v>
      </c>
      <c r="B437" s="73" t="s">
        <v>15</v>
      </c>
      <c r="C437" s="73" t="s">
        <v>9</v>
      </c>
      <c r="D437" s="74" t="s">
        <v>16</v>
      </c>
      <c r="E437" s="74" t="s">
        <v>17</v>
      </c>
      <c r="F437" s="75" t="s">
        <v>18</v>
      </c>
    </row>
    <row r="438" spans="1:5" ht="12.75" hidden="1">
      <c r="A438" s="76" t="s">
        <v>146</v>
      </c>
      <c r="B438" s="77" t="s">
        <v>68</v>
      </c>
      <c r="C438" s="77">
        <v>0</v>
      </c>
      <c r="D438" s="78">
        <v>268000</v>
      </c>
      <c r="E438" s="78">
        <f>C438*D438</f>
        <v>0</v>
      </c>
    </row>
    <row r="439" spans="1:5" ht="12.75" hidden="1">
      <c r="A439" s="79" t="s">
        <v>147</v>
      </c>
      <c r="B439" s="80" t="s">
        <v>68</v>
      </c>
      <c r="C439" s="80">
        <f>+C438</f>
        <v>0</v>
      </c>
      <c r="D439" s="82">
        <v>105000</v>
      </c>
      <c r="E439" s="82">
        <f>C439*D439</f>
        <v>0</v>
      </c>
    </row>
    <row r="440" spans="1:5" ht="12.75" hidden="1">
      <c r="A440" s="79" t="s">
        <v>96</v>
      </c>
      <c r="B440" s="80" t="s">
        <v>5</v>
      </c>
      <c r="C440" s="80">
        <f>+C$307</f>
        <v>80</v>
      </c>
      <c r="D440" s="82">
        <f>E438</f>
        <v>0</v>
      </c>
      <c r="E440" s="82">
        <f>C440*D440/100</f>
        <v>0</v>
      </c>
    </row>
    <row r="441" spans="1:5" ht="12.75" hidden="1">
      <c r="A441" s="79" t="s">
        <v>148</v>
      </c>
      <c r="B441" s="80" t="s">
        <v>5</v>
      </c>
      <c r="C441" s="80">
        <f>+C$308</f>
        <v>90</v>
      </c>
      <c r="D441" s="82">
        <f>E439</f>
        <v>0</v>
      </c>
      <c r="E441" s="82">
        <f>C441*D441/100</f>
        <v>0</v>
      </c>
    </row>
    <row r="442" spans="1:5" ht="12.75" hidden="1">
      <c r="A442" s="79" t="s">
        <v>98</v>
      </c>
      <c r="B442" s="80" t="s">
        <v>20</v>
      </c>
      <c r="C442" s="80">
        <f>+C$309</f>
        <v>60</v>
      </c>
      <c r="D442" s="82">
        <f>E440+E441</f>
        <v>0</v>
      </c>
      <c r="E442" s="82">
        <f>D442/C442</f>
        <v>0</v>
      </c>
    </row>
    <row r="443" spans="1:6" ht="13.5" customHeight="1" hidden="1">
      <c r="A443" s="186" t="s">
        <v>149</v>
      </c>
      <c r="B443" s="186"/>
      <c r="C443" s="186"/>
      <c r="D443" s="186"/>
      <c r="F443" s="91">
        <f>E442</f>
        <v>0</v>
      </c>
    </row>
    <row r="444" spans="1:4" ht="26.25" customHeight="1" hidden="1">
      <c r="A444" s="186"/>
      <c r="B444" s="186"/>
      <c r="C444" s="186"/>
      <c r="D444" s="186"/>
    </row>
    <row r="445" ht="11.25" customHeight="1" hidden="1"/>
    <row r="446" ht="12.75" hidden="1">
      <c r="A446" s="1" t="s">
        <v>150</v>
      </c>
    </row>
    <row r="447" spans="1:6" ht="12.75" hidden="1">
      <c r="A447" s="72" t="s">
        <v>14</v>
      </c>
      <c r="B447" s="73" t="s">
        <v>15</v>
      </c>
      <c r="C447" s="73" t="s">
        <v>9</v>
      </c>
      <c r="D447" s="74" t="s">
        <v>16</v>
      </c>
      <c r="E447" s="74" t="s">
        <v>17</v>
      </c>
      <c r="F447" s="75" t="s">
        <v>18</v>
      </c>
    </row>
    <row r="448" spans="1:6" ht="12.75" hidden="1">
      <c r="A448" s="76" t="s">
        <v>151</v>
      </c>
      <c r="B448" s="77" t="s">
        <v>68</v>
      </c>
      <c r="C448" s="77">
        <v>1</v>
      </c>
      <c r="D448" s="78">
        <f>E438+E439</f>
        <v>0</v>
      </c>
      <c r="E448" s="78">
        <f>+D448*C448</f>
        <v>0</v>
      </c>
      <c r="F448" s="85"/>
    </row>
    <row r="449" spans="1:6" ht="12.75" hidden="1">
      <c r="A449" s="79" t="s">
        <v>152</v>
      </c>
      <c r="B449" s="80" t="s">
        <v>5</v>
      </c>
      <c r="C449" s="80">
        <f>+C$337</f>
        <v>0.1375</v>
      </c>
      <c r="D449" s="82">
        <f>E448</f>
        <v>0</v>
      </c>
      <c r="E449" s="82">
        <f>C449*D449/100</f>
        <v>0</v>
      </c>
      <c r="F449" s="85"/>
    </row>
    <row r="450" spans="3:6" ht="12.75" hidden="1">
      <c r="C450" s="84"/>
      <c r="D450" s="85"/>
      <c r="E450" s="85"/>
      <c r="F450" s="91">
        <f>E449</f>
        <v>0</v>
      </c>
    </row>
    <row r="451" ht="11.25" customHeight="1" hidden="1"/>
    <row r="452" ht="12.75" hidden="1">
      <c r="A452" s="1" t="s">
        <v>153</v>
      </c>
    </row>
    <row r="453" spans="1:6" ht="12.75" hidden="1">
      <c r="A453" s="72" t="s">
        <v>14</v>
      </c>
      <c r="B453" s="73" t="s">
        <v>15</v>
      </c>
      <c r="C453" s="73" t="s">
        <v>9</v>
      </c>
      <c r="D453" s="74" t="s">
        <v>16</v>
      </c>
      <c r="E453" s="74" t="s">
        <v>17</v>
      </c>
      <c r="F453" s="75" t="s">
        <v>18</v>
      </c>
    </row>
    <row r="454" spans="1:5" ht="12.75" hidden="1">
      <c r="A454" s="76" t="s">
        <v>154</v>
      </c>
      <c r="B454" s="77" t="s">
        <v>68</v>
      </c>
      <c r="C454" s="77">
        <f>C438</f>
        <v>0</v>
      </c>
      <c r="D454" s="78">
        <f>0.01*D438</f>
        <v>2680</v>
      </c>
      <c r="E454" s="78">
        <f>C454*D454</f>
        <v>0</v>
      </c>
    </row>
    <row r="455" spans="1:5" ht="12.75" hidden="1">
      <c r="A455" s="79" t="s">
        <v>155</v>
      </c>
      <c r="B455" s="80" t="s">
        <v>68</v>
      </c>
      <c r="C455" s="80">
        <f>C438</f>
        <v>0</v>
      </c>
      <c r="D455" s="82">
        <f>+D$345</f>
        <v>99.65</v>
      </c>
      <c r="E455" s="82">
        <f>C455*D455</f>
        <v>0</v>
      </c>
    </row>
    <row r="456" spans="1:6" ht="12.75" hidden="1">
      <c r="A456" s="79" t="s">
        <v>156</v>
      </c>
      <c r="B456" s="80" t="s">
        <v>68</v>
      </c>
      <c r="C456" s="80">
        <f>C438</f>
        <v>0</v>
      </c>
      <c r="D456" s="82">
        <f>+D$346</f>
        <v>1500</v>
      </c>
      <c r="E456" s="82">
        <f>C456*D456</f>
        <v>0</v>
      </c>
      <c r="F456" s="125"/>
    </row>
    <row r="457" spans="1:5" ht="12.75" hidden="1">
      <c r="A457" s="79" t="s">
        <v>116</v>
      </c>
      <c r="B457" s="80" t="s">
        <v>20</v>
      </c>
      <c r="C457" s="80">
        <v>12</v>
      </c>
      <c r="D457" s="82">
        <f>SUM(E454:E456)</f>
        <v>0</v>
      </c>
      <c r="E457" s="82">
        <f>D457/C457</f>
        <v>0</v>
      </c>
    </row>
    <row r="458" ht="12.75" hidden="1">
      <c r="F458" s="91">
        <f>E457</f>
        <v>0</v>
      </c>
    </row>
    <row r="459" ht="11.25" customHeight="1" hidden="1"/>
    <row r="460" spans="1:2" ht="12.75" hidden="1">
      <c r="A460" s="1" t="s">
        <v>157</v>
      </c>
      <c r="B460" s="126"/>
    </row>
    <row r="461" spans="1:6" ht="12.75" hidden="1">
      <c r="A461" s="72" t="s">
        <v>14</v>
      </c>
      <c r="B461" s="73" t="s">
        <v>15</v>
      </c>
      <c r="C461" s="73" t="s">
        <v>9</v>
      </c>
      <c r="D461" s="74" t="s">
        <v>16</v>
      </c>
      <c r="E461" s="74" t="s">
        <v>17</v>
      </c>
      <c r="F461" s="75" t="s">
        <v>18</v>
      </c>
    </row>
    <row r="462" spans="1:5" ht="12.75" hidden="1">
      <c r="A462" s="76" t="s">
        <v>118</v>
      </c>
      <c r="B462" s="77" t="s">
        <v>119</v>
      </c>
      <c r="C462" s="137">
        <v>1.5</v>
      </c>
      <c r="D462" s="138">
        <f>+D$364</f>
        <v>5.89</v>
      </c>
      <c r="E462" s="78"/>
    </row>
    <row r="463" spans="1:5" ht="12.75" hidden="1">
      <c r="A463" s="79" t="s">
        <v>120</v>
      </c>
      <c r="B463" s="80" t="s">
        <v>121</v>
      </c>
      <c r="C463" s="134">
        <v>0</v>
      </c>
      <c r="D463" s="78">
        <f>+D462/C462</f>
        <v>3.9266666666666663</v>
      </c>
      <c r="E463" s="82">
        <f>C463*D463</f>
        <v>0</v>
      </c>
    </row>
    <row r="464" spans="1:5" ht="12.75" hidden="1">
      <c r="A464" s="79" t="s">
        <v>122</v>
      </c>
      <c r="B464" s="80" t="s">
        <v>123</v>
      </c>
      <c r="C464" s="106">
        <v>6</v>
      </c>
      <c r="D464" s="82">
        <f>+D$366</f>
        <v>25</v>
      </c>
      <c r="E464" s="82"/>
    </row>
    <row r="465" spans="1:5" ht="12.75" hidden="1">
      <c r="A465" s="79" t="s">
        <v>124</v>
      </c>
      <c r="B465" s="80" t="s">
        <v>121</v>
      </c>
      <c r="C465" s="134">
        <f>C463</f>
        <v>0</v>
      </c>
      <c r="D465" s="82">
        <f>+C464*D464</f>
        <v>150</v>
      </c>
      <c r="E465" s="82">
        <f>C465*D465/1000</f>
        <v>0</v>
      </c>
    </row>
    <row r="466" spans="1:5" ht="12.75" hidden="1">
      <c r="A466" s="79" t="s">
        <v>125</v>
      </c>
      <c r="B466" s="80" t="s">
        <v>123</v>
      </c>
      <c r="C466" s="106">
        <v>0.85</v>
      </c>
      <c r="D466" s="82">
        <f>+D$368</f>
        <v>9.71</v>
      </c>
      <c r="E466" s="82"/>
    </row>
    <row r="467" spans="1:5" ht="12.75" hidden="1">
      <c r="A467" s="79" t="s">
        <v>126</v>
      </c>
      <c r="B467" s="80" t="s">
        <v>121</v>
      </c>
      <c r="C467" s="134">
        <f>C463</f>
        <v>0</v>
      </c>
      <c r="D467" s="82">
        <f>+C466*D466</f>
        <v>8.2535</v>
      </c>
      <c r="E467" s="82">
        <f>C467*D467/1000</f>
        <v>0</v>
      </c>
    </row>
    <row r="468" spans="1:5" ht="12.75" hidden="1">
      <c r="A468" s="79" t="s">
        <v>127</v>
      </c>
      <c r="B468" s="80" t="s">
        <v>123</v>
      </c>
      <c r="C468" s="106">
        <v>5</v>
      </c>
      <c r="D468" s="82">
        <f>+D$370</f>
        <v>6.69</v>
      </c>
      <c r="E468" s="82"/>
    </row>
    <row r="469" spans="1:5" ht="12.75" hidden="1">
      <c r="A469" s="79" t="s">
        <v>128</v>
      </c>
      <c r="B469" s="80" t="s">
        <v>121</v>
      </c>
      <c r="C469" s="134">
        <f>C463</f>
        <v>0</v>
      </c>
      <c r="D469" s="82">
        <f>+C468*D468</f>
        <v>33.45</v>
      </c>
      <c r="E469" s="82">
        <f>C469*D469/1000</f>
        <v>0</v>
      </c>
    </row>
    <row r="470" spans="1:5" ht="12.75" hidden="1">
      <c r="A470" s="79" t="s">
        <v>129</v>
      </c>
      <c r="B470" s="80" t="s">
        <v>130</v>
      </c>
      <c r="C470" s="80">
        <v>2</v>
      </c>
      <c r="D470" s="82">
        <f>+D$372</f>
        <v>7.72</v>
      </c>
      <c r="E470" s="82"/>
    </row>
    <row r="471" spans="1:5" ht="12.75" hidden="1">
      <c r="A471" s="79" t="s">
        <v>131</v>
      </c>
      <c r="B471" s="80" t="s">
        <v>121</v>
      </c>
      <c r="C471" s="134">
        <f>C463</f>
        <v>0</v>
      </c>
      <c r="D471" s="82">
        <f>+C470*D470</f>
        <v>15.44</v>
      </c>
      <c r="E471" s="82">
        <f>C471*D471/1000</f>
        <v>0</v>
      </c>
    </row>
    <row r="472" ht="12.75" hidden="1">
      <c r="F472" s="91">
        <f>SUM(E462:E471)</f>
        <v>0</v>
      </c>
    </row>
    <row r="473" ht="11.25" customHeight="1" hidden="1"/>
    <row r="474" ht="12.75" hidden="1">
      <c r="A474" s="1" t="s">
        <v>158</v>
      </c>
    </row>
    <row r="475" spans="1:6" ht="12.75" hidden="1">
      <c r="A475" s="72" t="s">
        <v>14</v>
      </c>
      <c r="B475" s="73" t="s">
        <v>15</v>
      </c>
      <c r="C475" s="73" t="s">
        <v>9</v>
      </c>
      <c r="D475" s="74" t="s">
        <v>16</v>
      </c>
      <c r="E475" s="74" t="s">
        <v>17</v>
      </c>
      <c r="F475" s="75" t="s">
        <v>18</v>
      </c>
    </row>
    <row r="476" spans="1:5" ht="12.75" hidden="1">
      <c r="A476" s="76" t="s">
        <v>133</v>
      </c>
      <c r="B476" s="77" t="s">
        <v>68</v>
      </c>
      <c r="C476" s="77">
        <f>C438</f>
        <v>0</v>
      </c>
      <c r="D476" s="78">
        <f>D438</f>
        <v>268000</v>
      </c>
      <c r="E476" s="78">
        <f>C476*D476</f>
        <v>0</v>
      </c>
    </row>
    <row r="477" spans="1:5" ht="12.75" hidden="1">
      <c r="A477" s="79" t="s">
        <v>147</v>
      </c>
      <c r="B477" s="80" t="s">
        <v>68</v>
      </c>
      <c r="C477" s="80">
        <f>C439</f>
        <v>0</v>
      </c>
      <c r="D477" s="82">
        <f>D439</f>
        <v>105000</v>
      </c>
      <c r="E477" s="82">
        <f>C477*D477</f>
        <v>0</v>
      </c>
    </row>
    <row r="478" spans="1:5" ht="12.75" hidden="1">
      <c r="A478" s="79" t="s">
        <v>134</v>
      </c>
      <c r="B478" s="80" t="s">
        <v>5</v>
      </c>
      <c r="C478" s="80">
        <f>+C$405</f>
        <v>25</v>
      </c>
      <c r="D478" s="82">
        <f>SUM(E476:E477)</f>
        <v>0</v>
      </c>
      <c r="E478" s="82">
        <f>C478*D478/100</f>
        <v>0</v>
      </c>
    </row>
    <row r="479" spans="1:5" ht="12.75" hidden="1">
      <c r="A479" s="79" t="s">
        <v>135</v>
      </c>
      <c r="B479" s="80" t="s">
        <v>20</v>
      </c>
      <c r="C479" s="80">
        <f>+C$406</f>
        <v>60</v>
      </c>
      <c r="D479" s="82">
        <f>E478</f>
        <v>0</v>
      </c>
      <c r="E479" s="82">
        <f>D479/C479</f>
        <v>0</v>
      </c>
    </row>
    <row r="480" ht="12.75" hidden="1">
      <c r="F480" s="91">
        <f>E479</f>
        <v>0</v>
      </c>
    </row>
    <row r="481" ht="11.25" customHeight="1" hidden="1"/>
    <row r="482" ht="12.75" hidden="1">
      <c r="A482" s="1" t="s">
        <v>159</v>
      </c>
    </row>
    <row r="483" spans="1:6" ht="12.75" hidden="1">
      <c r="A483" s="72" t="s">
        <v>14</v>
      </c>
      <c r="B483" s="73" t="s">
        <v>15</v>
      </c>
      <c r="C483" s="73" t="s">
        <v>9</v>
      </c>
      <c r="D483" s="74" t="s">
        <v>16</v>
      </c>
      <c r="E483" s="74" t="s">
        <v>17</v>
      </c>
      <c r="F483" s="75" t="s">
        <v>18</v>
      </c>
    </row>
    <row r="484" spans="1:5" ht="12.75" hidden="1">
      <c r="A484" s="76" t="s">
        <v>138</v>
      </c>
      <c r="B484" s="77" t="s">
        <v>68</v>
      </c>
      <c r="C484" s="77">
        <v>10</v>
      </c>
      <c r="D484" s="78">
        <f>+D414</f>
        <v>1700</v>
      </c>
      <c r="E484" s="78">
        <f>C484*D484</f>
        <v>17000</v>
      </c>
    </row>
    <row r="485" spans="1:5" ht="12.75" hidden="1">
      <c r="A485" s="76" t="s">
        <v>139</v>
      </c>
      <c r="B485" s="77" t="s">
        <v>68</v>
      </c>
      <c r="C485" s="77">
        <f>C484</f>
        <v>10</v>
      </c>
      <c r="D485" s="78">
        <f>D$415</f>
        <v>510</v>
      </c>
      <c r="E485" s="78">
        <f>C485*D485</f>
        <v>5100</v>
      </c>
    </row>
    <row r="486" spans="1:5" ht="12.75" hidden="1">
      <c r="A486" s="79" t="s">
        <v>140</v>
      </c>
      <c r="B486" s="80" t="s">
        <v>141</v>
      </c>
      <c r="C486" s="134">
        <v>70000</v>
      </c>
      <c r="D486" s="82">
        <f>E484+E485</f>
        <v>22100</v>
      </c>
      <c r="E486" s="82">
        <f>D486/C486</f>
        <v>0.3157142857142857</v>
      </c>
    </row>
    <row r="487" spans="1:5" ht="12.75" hidden="1">
      <c r="A487" s="79" t="s">
        <v>142</v>
      </c>
      <c r="B487" s="80" t="s">
        <v>121</v>
      </c>
      <c r="C487" s="134">
        <f>C463</f>
        <v>0</v>
      </c>
      <c r="D487" s="82">
        <f>E486</f>
        <v>0.3157142857142857</v>
      </c>
      <c r="E487" s="82">
        <f>C487*D487</f>
        <v>0</v>
      </c>
    </row>
    <row r="488" ht="12.75" hidden="1">
      <c r="F488" s="91">
        <f>E487</f>
        <v>0</v>
      </c>
    </row>
    <row r="489" ht="11.25" customHeight="1" hidden="1"/>
    <row r="490" spans="1:6" ht="12.75" hidden="1">
      <c r="A490" s="136" t="s">
        <v>160</v>
      </c>
      <c r="B490" s="181">
        <f>F488+F480+F472+F458+F450+F443</f>
        <v>0</v>
      </c>
      <c r="C490" s="181"/>
      <c r="F490" s="125"/>
    </row>
    <row r="491" ht="11.25" customHeight="1" hidden="1"/>
    <row r="492" ht="12.75" hidden="1">
      <c r="A492" s="139" t="s">
        <v>161</v>
      </c>
    </row>
    <row r="493" ht="11.25" customHeight="1" hidden="1"/>
    <row r="494" ht="12.75" hidden="1">
      <c r="A494" s="1" t="s">
        <v>162</v>
      </c>
    </row>
    <row r="495" spans="1:6" ht="12.75" hidden="1">
      <c r="A495" s="72" t="s">
        <v>14</v>
      </c>
      <c r="B495" s="73" t="s">
        <v>15</v>
      </c>
      <c r="C495" s="73" t="s">
        <v>9</v>
      </c>
      <c r="D495" s="74" t="s">
        <v>16</v>
      </c>
      <c r="E495" s="74" t="s">
        <v>17</v>
      </c>
      <c r="F495" s="75" t="s">
        <v>18</v>
      </c>
    </row>
    <row r="496" spans="1:5" ht="12.75" hidden="1">
      <c r="A496" s="76" t="s">
        <v>133</v>
      </c>
      <c r="B496" s="77" t="s">
        <v>68</v>
      </c>
      <c r="C496" s="77">
        <v>0</v>
      </c>
      <c r="D496" s="78">
        <v>118405</v>
      </c>
      <c r="E496" s="78">
        <f>C496*D496</f>
        <v>0</v>
      </c>
    </row>
    <row r="497" spans="1:5" ht="12.75" hidden="1">
      <c r="A497" s="79" t="s">
        <v>147</v>
      </c>
      <c r="B497" s="80" t="s">
        <v>68</v>
      </c>
      <c r="C497" s="80">
        <f>+C496</f>
        <v>0</v>
      </c>
      <c r="D497" s="82">
        <v>53000</v>
      </c>
      <c r="E497" s="82">
        <f>C497*D497</f>
        <v>0</v>
      </c>
    </row>
    <row r="498" spans="1:5" ht="12.75" hidden="1">
      <c r="A498" s="79" t="s">
        <v>96</v>
      </c>
      <c r="B498" s="80" t="s">
        <v>5</v>
      </c>
      <c r="C498" s="80">
        <f>+C$307</f>
        <v>80</v>
      </c>
      <c r="D498" s="82">
        <f>E496</f>
        <v>0</v>
      </c>
      <c r="E498" s="82">
        <f>C498*D498/100</f>
        <v>0</v>
      </c>
    </row>
    <row r="499" spans="1:5" ht="12.75" hidden="1">
      <c r="A499" s="79" t="s">
        <v>163</v>
      </c>
      <c r="B499" s="80" t="s">
        <v>5</v>
      </c>
      <c r="C499" s="80">
        <f>+C$308</f>
        <v>90</v>
      </c>
      <c r="D499" s="82">
        <f>E497</f>
        <v>0</v>
      </c>
      <c r="E499" s="82">
        <f>C499*D499/100</f>
        <v>0</v>
      </c>
    </row>
    <row r="500" spans="1:5" ht="12.75" hidden="1">
      <c r="A500" s="79" t="s">
        <v>98</v>
      </c>
      <c r="B500" s="80" t="s">
        <v>20</v>
      </c>
      <c r="C500" s="80">
        <f>+C$309</f>
        <v>60</v>
      </c>
      <c r="D500" s="82">
        <f>E498+E499</f>
        <v>0</v>
      </c>
      <c r="E500" s="82">
        <f>D500/C500</f>
        <v>0</v>
      </c>
    </row>
    <row r="501" ht="12.75" hidden="1">
      <c r="F501" s="91">
        <f>E500</f>
        <v>0</v>
      </c>
    </row>
    <row r="502" ht="11.25" customHeight="1" hidden="1"/>
    <row r="503" ht="12.75" hidden="1">
      <c r="A503" s="1" t="s">
        <v>164</v>
      </c>
    </row>
    <row r="504" spans="1:6" ht="12.75" hidden="1">
      <c r="A504" s="72" t="s">
        <v>14</v>
      </c>
      <c r="B504" s="73" t="s">
        <v>15</v>
      </c>
      <c r="C504" s="73" t="s">
        <v>9</v>
      </c>
      <c r="D504" s="74" t="s">
        <v>16</v>
      </c>
      <c r="E504" s="74" t="s">
        <v>17</v>
      </c>
      <c r="F504" s="75" t="s">
        <v>18</v>
      </c>
    </row>
    <row r="505" spans="1:6" ht="12.75" hidden="1">
      <c r="A505" s="76" t="s">
        <v>151</v>
      </c>
      <c r="B505" s="77" t="s">
        <v>68</v>
      </c>
      <c r="C505" s="77">
        <v>1</v>
      </c>
      <c r="D505" s="78">
        <f>E496+E497</f>
        <v>0</v>
      </c>
      <c r="E505" s="78">
        <f>C505*D505</f>
        <v>0</v>
      </c>
      <c r="F505" s="85"/>
    </row>
    <row r="506" spans="1:6" ht="12.75" hidden="1">
      <c r="A506" s="79" t="s">
        <v>152</v>
      </c>
      <c r="B506" s="80" t="s">
        <v>5</v>
      </c>
      <c r="C506" s="80">
        <f>+C$337</f>
        <v>0.1375</v>
      </c>
      <c r="D506" s="82">
        <f>E505</f>
        <v>0</v>
      </c>
      <c r="E506" s="82">
        <f>C506*D506/100</f>
        <v>0</v>
      </c>
      <c r="F506" s="85"/>
    </row>
    <row r="507" spans="3:6" ht="12.75" hidden="1">
      <c r="C507" s="84"/>
      <c r="D507" s="85"/>
      <c r="E507" s="85"/>
      <c r="F507" s="91">
        <f>E506</f>
        <v>0</v>
      </c>
    </row>
    <row r="508" ht="11.25" customHeight="1" hidden="1"/>
    <row r="509" ht="12.75" hidden="1">
      <c r="A509" s="1" t="s">
        <v>165</v>
      </c>
    </row>
    <row r="510" spans="1:6" ht="12.75" hidden="1">
      <c r="A510" s="72" t="s">
        <v>14</v>
      </c>
      <c r="B510" s="73" t="s">
        <v>15</v>
      </c>
      <c r="C510" s="73" t="s">
        <v>9</v>
      </c>
      <c r="D510" s="74" t="s">
        <v>16</v>
      </c>
      <c r="E510" s="74" t="s">
        <v>17</v>
      </c>
      <c r="F510" s="75" t="s">
        <v>18</v>
      </c>
    </row>
    <row r="511" spans="1:5" ht="12.75" hidden="1">
      <c r="A511" s="76" t="s">
        <v>154</v>
      </c>
      <c r="B511" s="77" t="s">
        <v>68</v>
      </c>
      <c r="C511" s="77">
        <f>C496</f>
        <v>0</v>
      </c>
      <c r="D511" s="78">
        <f>0.01*D496</f>
        <v>1184.05</v>
      </c>
      <c r="E511" s="78">
        <f>C511*D511</f>
        <v>0</v>
      </c>
    </row>
    <row r="512" spans="1:5" ht="12.75" hidden="1">
      <c r="A512" s="79" t="s">
        <v>155</v>
      </c>
      <c r="B512" s="80" t="s">
        <v>68</v>
      </c>
      <c r="C512" s="80">
        <f>C496</f>
        <v>0</v>
      </c>
      <c r="D512" s="82">
        <f>+D$345</f>
        <v>99.65</v>
      </c>
      <c r="E512" s="82">
        <f>C512*D512</f>
        <v>0</v>
      </c>
    </row>
    <row r="513" spans="1:6" ht="12.75" hidden="1">
      <c r="A513" s="79" t="s">
        <v>156</v>
      </c>
      <c r="B513" s="80" t="s">
        <v>68</v>
      </c>
      <c r="C513" s="80">
        <f>C496</f>
        <v>0</v>
      </c>
      <c r="D513" s="82">
        <f>+D$346</f>
        <v>1500</v>
      </c>
      <c r="E513" s="82">
        <f>C513*D513</f>
        <v>0</v>
      </c>
      <c r="F513" s="125"/>
    </row>
    <row r="514" spans="1:5" ht="12.75" hidden="1">
      <c r="A514" s="79" t="s">
        <v>116</v>
      </c>
      <c r="B514" s="80" t="s">
        <v>20</v>
      </c>
      <c r="C514" s="80">
        <v>12</v>
      </c>
      <c r="D514" s="82">
        <f>SUM(E511:E513)</f>
        <v>0</v>
      </c>
      <c r="E514" s="82">
        <f>D514/C514</f>
        <v>0</v>
      </c>
    </row>
    <row r="515" ht="12.75" hidden="1">
      <c r="F515" s="91">
        <f>E514</f>
        <v>0</v>
      </c>
    </row>
    <row r="516" ht="11.25" customHeight="1" hidden="1"/>
    <row r="517" spans="1:2" ht="12.75" hidden="1">
      <c r="A517" s="1" t="s">
        <v>166</v>
      </c>
      <c r="B517" s="126"/>
    </row>
    <row r="518" spans="1:6" ht="12.75" hidden="1">
      <c r="A518" s="72" t="s">
        <v>14</v>
      </c>
      <c r="B518" s="73" t="s">
        <v>15</v>
      </c>
      <c r="C518" s="73" t="s">
        <v>9</v>
      </c>
      <c r="D518" s="74" t="s">
        <v>16</v>
      </c>
      <c r="E518" s="74" t="s">
        <v>17</v>
      </c>
      <c r="F518" s="75" t="s">
        <v>18</v>
      </c>
    </row>
    <row r="519" spans="1:5" ht="12.75" hidden="1">
      <c r="A519" s="76" t="s">
        <v>118</v>
      </c>
      <c r="B519" s="77" t="s">
        <v>119</v>
      </c>
      <c r="C519" s="137">
        <v>2.5</v>
      </c>
      <c r="D519" s="138">
        <f>+D$364</f>
        <v>5.89</v>
      </c>
      <c r="E519" s="78"/>
    </row>
    <row r="520" spans="1:5" ht="12.75" hidden="1">
      <c r="A520" s="79" t="s">
        <v>120</v>
      </c>
      <c r="B520" s="80" t="s">
        <v>121</v>
      </c>
      <c r="C520" s="134">
        <v>0</v>
      </c>
      <c r="D520" s="78">
        <f>+D519/C519</f>
        <v>2.356</v>
      </c>
      <c r="E520" s="82">
        <f>C520*D520</f>
        <v>0</v>
      </c>
    </row>
    <row r="521" spans="1:5" ht="12.75" hidden="1">
      <c r="A521" s="79" t="s">
        <v>122</v>
      </c>
      <c r="B521" s="80" t="s">
        <v>123</v>
      </c>
      <c r="C521" s="106">
        <v>3</v>
      </c>
      <c r="D521" s="82">
        <f>+D$366</f>
        <v>25</v>
      </c>
      <c r="E521" s="82"/>
    </row>
    <row r="522" spans="1:5" ht="12.75" hidden="1">
      <c r="A522" s="79" t="s">
        <v>124</v>
      </c>
      <c r="B522" s="80" t="s">
        <v>121</v>
      </c>
      <c r="C522" s="134">
        <f>C520</f>
        <v>0</v>
      </c>
      <c r="D522" s="82">
        <f>+C521*D521</f>
        <v>75</v>
      </c>
      <c r="E522" s="82">
        <f>C522*D522/1000</f>
        <v>0</v>
      </c>
    </row>
    <row r="523" spans="1:5" ht="12.75" hidden="1">
      <c r="A523" s="79" t="s">
        <v>125</v>
      </c>
      <c r="B523" s="80" t="s">
        <v>123</v>
      </c>
      <c r="C523" s="106">
        <v>0.5</v>
      </c>
      <c r="D523" s="82">
        <f>+D$368</f>
        <v>9.71</v>
      </c>
      <c r="E523" s="82"/>
    </row>
    <row r="524" spans="1:5" ht="12.75" hidden="1">
      <c r="A524" s="79" t="s">
        <v>126</v>
      </c>
      <c r="B524" s="80" t="s">
        <v>121</v>
      </c>
      <c r="C524" s="134">
        <f>C520</f>
        <v>0</v>
      </c>
      <c r="D524" s="82">
        <f>+C523*D523</f>
        <v>4.855</v>
      </c>
      <c r="E524" s="82">
        <f>C524*D524/1000</f>
        <v>0</v>
      </c>
    </row>
    <row r="525" spans="1:5" ht="12.75" hidden="1">
      <c r="A525" s="79" t="s">
        <v>127</v>
      </c>
      <c r="B525" s="80" t="s">
        <v>123</v>
      </c>
      <c r="C525" s="106">
        <v>3</v>
      </c>
      <c r="D525" s="82">
        <f>+D$370</f>
        <v>6.69</v>
      </c>
      <c r="E525" s="82"/>
    </row>
    <row r="526" spans="1:5" ht="12.75" hidden="1">
      <c r="A526" s="79" t="s">
        <v>128</v>
      </c>
      <c r="B526" s="80" t="s">
        <v>121</v>
      </c>
      <c r="C526" s="134">
        <f>C520</f>
        <v>0</v>
      </c>
      <c r="D526" s="82">
        <f>+C525*D525</f>
        <v>20.07</v>
      </c>
      <c r="E526" s="82">
        <f>C526*D526/1000</f>
        <v>0</v>
      </c>
    </row>
    <row r="527" spans="1:5" ht="12.75" hidden="1">
      <c r="A527" s="79" t="s">
        <v>129</v>
      </c>
      <c r="B527" s="80" t="s">
        <v>130</v>
      </c>
      <c r="C527" s="80">
        <v>1</v>
      </c>
      <c r="D527" s="82">
        <f>+D$372</f>
        <v>7.72</v>
      </c>
      <c r="E527" s="82"/>
    </row>
    <row r="528" spans="1:5" ht="12.75" hidden="1">
      <c r="A528" s="79" t="s">
        <v>131</v>
      </c>
      <c r="B528" s="80" t="s">
        <v>121</v>
      </c>
      <c r="C528" s="134">
        <f>C520</f>
        <v>0</v>
      </c>
      <c r="D528" s="82">
        <f>+C527*D527</f>
        <v>7.72</v>
      </c>
      <c r="E528" s="82">
        <f>C528*D528/1000</f>
        <v>0</v>
      </c>
    </row>
    <row r="529" ht="12.75" hidden="1">
      <c r="F529" s="91">
        <f>SUM(E519:E528)</f>
        <v>0</v>
      </c>
    </row>
    <row r="530" ht="11.25" customHeight="1" hidden="1"/>
    <row r="531" ht="12.75" hidden="1">
      <c r="A531" s="1" t="s">
        <v>167</v>
      </c>
    </row>
    <row r="532" spans="1:6" ht="12.75" hidden="1">
      <c r="A532" s="72" t="s">
        <v>14</v>
      </c>
      <c r="B532" s="73" t="s">
        <v>15</v>
      </c>
      <c r="C532" s="73" t="s">
        <v>9</v>
      </c>
      <c r="D532" s="74" t="s">
        <v>16</v>
      </c>
      <c r="E532" s="74" t="s">
        <v>17</v>
      </c>
      <c r="F532" s="75" t="s">
        <v>18</v>
      </c>
    </row>
    <row r="533" spans="1:5" ht="12.75" hidden="1">
      <c r="A533" s="76" t="s">
        <v>133</v>
      </c>
      <c r="B533" s="77" t="s">
        <v>68</v>
      </c>
      <c r="C533" s="77">
        <f>C496</f>
        <v>0</v>
      </c>
      <c r="D533" s="78">
        <f>D496</f>
        <v>118405</v>
      </c>
      <c r="E533" s="78">
        <f>C533*D533</f>
        <v>0</v>
      </c>
    </row>
    <row r="534" spans="1:5" ht="12.75" hidden="1">
      <c r="A534" s="79" t="s">
        <v>147</v>
      </c>
      <c r="B534" s="80" t="s">
        <v>68</v>
      </c>
      <c r="C534" s="80">
        <f>C497</f>
        <v>0</v>
      </c>
      <c r="D534" s="82">
        <f>D497</f>
        <v>53000</v>
      </c>
      <c r="E534" s="82">
        <f>C534*D534</f>
        <v>0</v>
      </c>
    </row>
    <row r="535" spans="1:5" ht="12.75" hidden="1">
      <c r="A535" s="79" t="s">
        <v>134</v>
      </c>
      <c r="B535" s="80" t="s">
        <v>5</v>
      </c>
      <c r="C535" s="87">
        <v>85</v>
      </c>
      <c r="D535" s="82">
        <f>E533+E534</f>
        <v>0</v>
      </c>
      <c r="E535" s="82">
        <f>C535*D535/100</f>
        <v>0</v>
      </c>
    </row>
    <row r="536" spans="1:5" ht="12.75" hidden="1">
      <c r="A536" s="79" t="s">
        <v>135</v>
      </c>
      <c r="B536" s="80" t="s">
        <v>20</v>
      </c>
      <c r="C536" s="80">
        <f>+C$406</f>
        <v>60</v>
      </c>
      <c r="D536" s="82">
        <f>E535</f>
        <v>0</v>
      </c>
      <c r="E536" s="82">
        <f>D536/C536</f>
        <v>0</v>
      </c>
    </row>
    <row r="537" ht="12.75" hidden="1">
      <c r="F537" s="91">
        <f>E536</f>
        <v>0</v>
      </c>
    </row>
    <row r="538" ht="11.25" customHeight="1" hidden="1"/>
    <row r="539" ht="12.75" hidden="1">
      <c r="A539" s="1" t="s">
        <v>168</v>
      </c>
    </row>
    <row r="540" spans="1:6" ht="12.75" hidden="1">
      <c r="A540" s="72" t="s">
        <v>14</v>
      </c>
      <c r="B540" s="73" t="s">
        <v>15</v>
      </c>
      <c r="C540" s="73" t="s">
        <v>9</v>
      </c>
      <c r="D540" s="74" t="s">
        <v>16</v>
      </c>
      <c r="E540" s="74" t="s">
        <v>17</v>
      </c>
      <c r="F540" s="75" t="s">
        <v>18</v>
      </c>
    </row>
    <row r="541" spans="1:5" ht="12.75" hidden="1">
      <c r="A541" s="76" t="s">
        <v>169</v>
      </c>
      <c r="B541" s="77" t="s">
        <v>68</v>
      </c>
      <c r="C541" s="77">
        <v>6</v>
      </c>
      <c r="D541" s="78">
        <v>822</v>
      </c>
      <c r="E541" s="78">
        <f>C541*D541</f>
        <v>4932</v>
      </c>
    </row>
    <row r="542" spans="1:5" ht="12.75" hidden="1">
      <c r="A542" s="76" t="s">
        <v>139</v>
      </c>
      <c r="B542" s="77" t="s">
        <v>68</v>
      </c>
      <c r="C542" s="77">
        <f>C541</f>
        <v>6</v>
      </c>
      <c r="D542" s="78">
        <f>+ROUND(D541*0.3,0)</f>
        <v>247</v>
      </c>
      <c r="E542" s="78">
        <f>C542*D542</f>
        <v>1482</v>
      </c>
    </row>
    <row r="543" spans="1:5" ht="12.75" hidden="1">
      <c r="A543" s="79" t="s">
        <v>140</v>
      </c>
      <c r="B543" s="80" t="s">
        <v>141</v>
      </c>
      <c r="C543" s="134">
        <v>70000</v>
      </c>
      <c r="D543" s="82">
        <f>E541+E542</f>
        <v>6414</v>
      </c>
      <c r="E543" s="82">
        <f>D543/C543</f>
        <v>0.09162857142857143</v>
      </c>
    </row>
    <row r="544" spans="1:5" ht="12.75" hidden="1">
      <c r="A544" s="140" t="s">
        <v>170</v>
      </c>
      <c r="B544" s="80" t="s">
        <v>121</v>
      </c>
      <c r="C544" s="134">
        <f>C520</f>
        <v>0</v>
      </c>
      <c r="D544" s="82">
        <f>E543</f>
        <v>0.09162857142857143</v>
      </c>
      <c r="E544" s="82">
        <f>C544*D544</f>
        <v>0</v>
      </c>
    </row>
    <row r="545" ht="12.75" hidden="1">
      <c r="F545" s="91">
        <f>+E544</f>
        <v>0</v>
      </c>
    </row>
    <row r="546" ht="11.25" customHeight="1" hidden="1"/>
    <row r="547" spans="1:6" ht="12.75" hidden="1">
      <c r="A547" s="136" t="s">
        <v>171</v>
      </c>
      <c r="B547" s="181">
        <f>F545+F537+F529+F515+F507+F501</f>
        <v>0</v>
      </c>
      <c r="C547" s="181"/>
      <c r="F547" s="125"/>
    </row>
    <row r="548" ht="11.25" customHeight="1" hidden="1"/>
    <row r="549" ht="12.75" hidden="1">
      <c r="A549" s="1" t="s">
        <v>172</v>
      </c>
    </row>
    <row r="550" ht="11.25" customHeight="1" hidden="1"/>
    <row r="551" ht="12.75" hidden="1">
      <c r="A551" s="1" t="s">
        <v>173</v>
      </c>
    </row>
    <row r="552" spans="1:6" ht="12.75" hidden="1">
      <c r="A552" s="72" t="s">
        <v>14</v>
      </c>
      <c r="B552" s="73" t="s">
        <v>15</v>
      </c>
      <c r="C552" s="73" t="s">
        <v>9</v>
      </c>
      <c r="D552" s="74" t="s">
        <v>16</v>
      </c>
      <c r="E552" s="74" t="s">
        <v>17</v>
      </c>
      <c r="F552" s="75" t="s">
        <v>18</v>
      </c>
    </row>
    <row r="553" spans="1:5" ht="12.75" hidden="1">
      <c r="A553" s="76" t="s">
        <v>133</v>
      </c>
      <c r="B553" s="77" t="s">
        <v>68</v>
      </c>
      <c r="C553" s="77">
        <v>0</v>
      </c>
      <c r="D553" s="78">
        <v>105384</v>
      </c>
      <c r="E553" s="78">
        <f>C553*D553</f>
        <v>0</v>
      </c>
    </row>
    <row r="554" spans="1:5" ht="12.75" hidden="1">
      <c r="A554" s="79" t="s">
        <v>174</v>
      </c>
      <c r="B554" s="80" t="s">
        <v>68</v>
      </c>
      <c r="C554" s="80">
        <f>C553</f>
        <v>0</v>
      </c>
      <c r="D554" s="82">
        <v>18500</v>
      </c>
      <c r="E554" s="82">
        <f>C554*D554</f>
        <v>0</v>
      </c>
    </row>
    <row r="555" spans="1:5" ht="12.75" hidden="1">
      <c r="A555" s="79" t="s">
        <v>96</v>
      </c>
      <c r="B555" s="80" t="s">
        <v>5</v>
      </c>
      <c r="C555" s="80">
        <f>+C$307</f>
        <v>80</v>
      </c>
      <c r="D555" s="82">
        <f>E553</f>
        <v>0</v>
      </c>
      <c r="E555" s="82">
        <f>C555*D555/100</f>
        <v>0</v>
      </c>
    </row>
    <row r="556" spans="1:5" ht="12.75" hidden="1">
      <c r="A556" s="79" t="s">
        <v>175</v>
      </c>
      <c r="B556" s="80" t="s">
        <v>5</v>
      </c>
      <c r="C556" s="80">
        <v>70</v>
      </c>
      <c r="D556" s="82">
        <f>E554</f>
        <v>0</v>
      </c>
      <c r="E556" s="82">
        <f>C556*D556/100</f>
        <v>0</v>
      </c>
    </row>
    <row r="557" spans="1:5" ht="12.75" hidden="1">
      <c r="A557" s="79" t="s">
        <v>98</v>
      </c>
      <c r="B557" s="80" t="s">
        <v>20</v>
      </c>
      <c r="C557" s="80">
        <f>+C$309</f>
        <v>60</v>
      </c>
      <c r="D557" s="82">
        <f>E555+E556</f>
        <v>0</v>
      </c>
      <c r="E557" s="82">
        <f>D557/C557</f>
        <v>0</v>
      </c>
    </row>
    <row r="558" ht="12.75" hidden="1">
      <c r="F558" s="91">
        <f>E557</f>
        <v>0</v>
      </c>
    </row>
    <row r="559" ht="11.25" customHeight="1" hidden="1"/>
    <row r="560" ht="12.75" hidden="1">
      <c r="A560" s="1" t="s">
        <v>176</v>
      </c>
    </row>
    <row r="561" spans="1:6" ht="12.75" hidden="1">
      <c r="A561" s="72" t="s">
        <v>14</v>
      </c>
      <c r="B561" s="73" t="s">
        <v>15</v>
      </c>
      <c r="C561" s="73" t="s">
        <v>9</v>
      </c>
      <c r="D561" s="74" t="s">
        <v>16</v>
      </c>
      <c r="E561" s="74" t="s">
        <v>17</v>
      </c>
      <c r="F561" s="75" t="s">
        <v>18</v>
      </c>
    </row>
    <row r="562" spans="1:6" ht="12.75" hidden="1">
      <c r="A562" s="76" t="s">
        <v>177</v>
      </c>
      <c r="B562" s="77" t="s">
        <v>68</v>
      </c>
      <c r="C562" s="77">
        <v>1</v>
      </c>
      <c r="D562" s="78">
        <f>E553+E554</f>
        <v>0</v>
      </c>
      <c r="E562" s="78">
        <f>C562*D562</f>
        <v>0</v>
      </c>
      <c r="F562" s="85"/>
    </row>
    <row r="563" spans="1:6" ht="12.75" hidden="1">
      <c r="A563" s="79" t="s">
        <v>152</v>
      </c>
      <c r="B563" s="80" t="s">
        <v>5</v>
      </c>
      <c r="C563" s="80">
        <f>+C$337</f>
        <v>0.1375</v>
      </c>
      <c r="D563" s="82">
        <f>E562</f>
        <v>0</v>
      </c>
      <c r="E563" s="82">
        <f>C563*D563/100</f>
        <v>0</v>
      </c>
      <c r="F563" s="85"/>
    </row>
    <row r="564" spans="3:6" ht="12.75" hidden="1">
      <c r="C564" s="84"/>
      <c r="D564" s="85"/>
      <c r="E564" s="85"/>
      <c r="F564" s="91">
        <f>E563</f>
        <v>0</v>
      </c>
    </row>
    <row r="565" ht="11.25" customHeight="1" hidden="1"/>
    <row r="566" ht="12.75" hidden="1">
      <c r="A566" s="1" t="s">
        <v>178</v>
      </c>
    </row>
    <row r="567" spans="1:6" ht="12.75" hidden="1">
      <c r="A567" s="72" t="s">
        <v>14</v>
      </c>
      <c r="B567" s="73" t="s">
        <v>15</v>
      </c>
      <c r="C567" s="73" t="s">
        <v>9</v>
      </c>
      <c r="D567" s="74" t="s">
        <v>16</v>
      </c>
      <c r="E567" s="74" t="s">
        <v>17</v>
      </c>
      <c r="F567" s="75" t="s">
        <v>18</v>
      </c>
    </row>
    <row r="568" spans="1:5" ht="12.75" hidden="1">
      <c r="A568" s="76" t="s">
        <v>154</v>
      </c>
      <c r="B568" s="77" t="s">
        <v>68</v>
      </c>
      <c r="C568" s="77">
        <f>C553</f>
        <v>0</v>
      </c>
      <c r="D568" s="78">
        <f>0.01*D553</f>
        <v>1053.84</v>
      </c>
      <c r="E568" s="78">
        <f>C568*D568</f>
        <v>0</v>
      </c>
    </row>
    <row r="569" spans="1:5" ht="12.75" hidden="1">
      <c r="A569" s="79" t="s">
        <v>155</v>
      </c>
      <c r="B569" s="80" t="s">
        <v>68</v>
      </c>
      <c r="C569" s="80">
        <f>C553</f>
        <v>0</v>
      </c>
      <c r="D569" s="82">
        <f>+D$345</f>
        <v>99.65</v>
      </c>
      <c r="E569" s="82">
        <f>C569*D569</f>
        <v>0</v>
      </c>
    </row>
    <row r="570" spans="1:6" ht="12.75" hidden="1">
      <c r="A570" s="79" t="s">
        <v>156</v>
      </c>
      <c r="B570" s="80" t="s">
        <v>68</v>
      </c>
      <c r="C570" s="80">
        <f>C553</f>
        <v>0</v>
      </c>
      <c r="D570" s="82">
        <f>+D$346</f>
        <v>1500</v>
      </c>
      <c r="E570" s="82">
        <f>C570*D570</f>
        <v>0</v>
      </c>
      <c r="F570" s="125"/>
    </row>
    <row r="571" spans="1:5" ht="12.75" hidden="1">
      <c r="A571" s="79" t="s">
        <v>116</v>
      </c>
      <c r="B571" s="80" t="s">
        <v>20</v>
      </c>
      <c r="C571" s="80">
        <v>12</v>
      </c>
      <c r="D571" s="82">
        <f>SUM(E568:E570)</f>
        <v>0</v>
      </c>
      <c r="E571" s="82">
        <f>D571/C571</f>
        <v>0</v>
      </c>
    </row>
    <row r="572" ht="12.75" hidden="1">
      <c r="F572" s="91">
        <f>E571</f>
        <v>0</v>
      </c>
    </row>
    <row r="573" ht="11.25" customHeight="1" hidden="1"/>
    <row r="574" spans="1:2" ht="12.75" hidden="1">
      <c r="A574" s="1" t="s">
        <v>179</v>
      </c>
      <c r="B574" s="126"/>
    </row>
    <row r="575" spans="1:6" ht="12.75" hidden="1">
      <c r="A575" s="72" t="s">
        <v>14</v>
      </c>
      <c r="B575" s="73" t="s">
        <v>15</v>
      </c>
      <c r="C575" s="73" t="s">
        <v>9</v>
      </c>
      <c r="D575" s="74" t="s">
        <v>16</v>
      </c>
      <c r="E575" s="74" t="s">
        <v>17</v>
      </c>
      <c r="F575" s="75" t="s">
        <v>18</v>
      </c>
    </row>
    <row r="576" spans="1:5" ht="12.75" hidden="1">
      <c r="A576" s="76" t="s">
        <v>118</v>
      </c>
      <c r="B576" s="77" t="s">
        <v>119</v>
      </c>
      <c r="C576" s="137">
        <v>4.5</v>
      </c>
      <c r="D576" s="138">
        <f>+D$364</f>
        <v>5.89</v>
      </c>
      <c r="E576" s="78"/>
    </row>
    <row r="577" spans="1:5" ht="12.75" hidden="1">
      <c r="A577" s="79" t="s">
        <v>120</v>
      </c>
      <c r="B577" s="80" t="s">
        <v>121</v>
      </c>
      <c r="C577" s="134">
        <v>0</v>
      </c>
      <c r="D577" s="78">
        <f>+D576/C576</f>
        <v>1.3088888888888888</v>
      </c>
      <c r="E577" s="82">
        <f>C577*D577</f>
        <v>0</v>
      </c>
    </row>
    <row r="578" spans="1:5" ht="12.75" hidden="1">
      <c r="A578" s="79" t="s">
        <v>122</v>
      </c>
      <c r="B578" s="80" t="s">
        <v>123</v>
      </c>
      <c r="C578" s="106">
        <v>2</v>
      </c>
      <c r="D578" s="82">
        <f>+D$366</f>
        <v>25</v>
      </c>
      <c r="E578" s="82"/>
    </row>
    <row r="579" spans="1:5" ht="12.75" hidden="1">
      <c r="A579" s="79" t="s">
        <v>124</v>
      </c>
      <c r="B579" s="80" t="s">
        <v>121</v>
      </c>
      <c r="C579" s="134">
        <f>C577</f>
        <v>0</v>
      </c>
      <c r="D579" s="82">
        <f>+C578*D578</f>
        <v>50</v>
      </c>
      <c r="E579" s="82">
        <f>C579*D579/1000</f>
        <v>0</v>
      </c>
    </row>
    <row r="580" spans="1:5" ht="12.75" hidden="1">
      <c r="A580" s="79" t="s">
        <v>125</v>
      </c>
      <c r="B580" s="80" t="s">
        <v>123</v>
      </c>
      <c r="C580" s="106">
        <v>0.5</v>
      </c>
      <c r="D580" s="82">
        <f>+D$368</f>
        <v>9.71</v>
      </c>
      <c r="E580" s="82"/>
    </row>
    <row r="581" spans="1:5" ht="12.75" hidden="1">
      <c r="A581" s="79" t="s">
        <v>126</v>
      </c>
      <c r="B581" s="80" t="s">
        <v>121</v>
      </c>
      <c r="C581" s="134">
        <f>C577</f>
        <v>0</v>
      </c>
      <c r="D581" s="82">
        <f>+C580*D580</f>
        <v>4.855</v>
      </c>
      <c r="E581" s="82">
        <f>C581*D581/1000</f>
        <v>0</v>
      </c>
    </row>
    <row r="582" spans="1:5" ht="12.75" hidden="1">
      <c r="A582" s="79" t="s">
        <v>127</v>
      </c>
      <c r="B582" s="80" t="s">
        <v>123</v>
      </c>
      <c r="C582" s="106">
        <v>1</v>
      </c>
      <c r="D582" s="82">
        <f>+D$370</f>
        <v>6.69</v>
      </c>
      <c r="E582" s="82"/>
    </row>
    <row r="583" spans="1:5" ht="12.75" hidden="1">
      <c r="A583" s="79" t="s">
        <v>128</v>
      </c>
      <c r="B583" s="80" t="s">
        <v>121</v>
      </c>
      <c r="C583" s="134">
        <f>C577</f>
        <v>0</v>
      </c>
      <c r="D583" s="82">
        <f>+C582*D582</f>
        <v>6.69</v>
      </c>
      <c r="E583" s="82">
        <f>C583*D583/1000</f>
        <v>0</v>
      </c>
    </row>
    <row r="584" spans="1:5" ht="12.75" hidden="1">
      <c r="A584" s="79" t="s">
        <v>129</v>
      </c>
      <c r="B584" s="80" t="s">
        <v>130</v>
      </c>
      <c r="C584" s="81">
        <v>1</v>
      </c>
      <c r="D584" s="82">
        <f>+D$372</f>
        <v>7.72</v>
      </c>
      <c r="E584" s="82"/>
    </row>
    <row r="585" spans="1:5" ht="12.75" hidden="1">
      <c r="A585" s="79" t="s">
        <v>131</v>
      </c>
      <c r="B585" s="80" t="s">
        <v>121</v>
      </c>
      <c r="C585" s="134">
        <f>C577</f>
        <v>0</v>
      </c>
      <c r="D585" s="82">
        <f>+C584*D584</f>
        <v>7.72</v>
      </c>
      <c r="E585" s="82">
        <f>C585*D585/1000</f>
        <v>0</v>
      </c>
    </row>
    <row r="586" ht="12.75" hidden="1">
      <c r="F586" s="91">
        <f>SUM(E576:E585)</f>
        <v>0</v>
      </c>
    </row>
    <row r="587" ht="11.25" customHeight="1" hidden="1"/>
    <row r="588" ht="12.75" hidden="1">
      <c r="A588" s="1" t="s">
        <v>180</v>
      </c>
    </row>
    <row r="589" spans="1:6" ht="12.75" hidden="1">
      <c r="A589" s="72" t="s">
        <v>14</v>
      </c>
      <c r="B589" s="73" t="s">
        <v>15</v>
      </c>
      <c r="C589" s="73" t="s">
        <v>9</v>
      </c>
      <c r="D589" s="74" t="s">
        <v>16</v>
      </c>
      <c r="E589" s="74" t="s">
        <v>17</v>
      </c>
      <c r="F589" s="75" t="s">
        <v>18</v>
      </c>
    </row>
    <row r="590" spans="1:5" ht="12.75" hidden="1">
      <c r="A590" s="76" t="s">
        <v>133</v>
      </c>
      <c r="B590" s="77" t="s">
        <v>68</v>
      </c>
      <c r="C590" s="77">
        <f>C553</f>
        <v>0</v>
      </c>
      <c r="D590" s="78">
        <f>D553</f>
        <v>105384</v>
      </c>
      <c r="E590" s="78">
        <f>C590*D590</f>
        <v>0</v>
      </c>
    </row>
    <row r="591" spans="1:5" ht="12.75" hidden="1">
      <c r="A591" s="79" t="s">
        <v>174</v>
      </c>
      <c r="B591" s="80" t="s">
        <v>68</v>
      </c>
      <c r="C591" s="80">
        <f>C554</f>
        <v>0</v>
      </c>
      <c r="D591" s="82">
        <f>D554</f>
        <v>18500</v>
      </c>
      <c r="E591" s="82">
        <f>C591*D591</f>
        <v>0</v>
      </c>
    </row>
    <row r="592" spans="1:5" ht="12.75" hidden="1">
      <c r="A592" s="79" t="s">
        <v>134</v>
      </c>
      <c r="B592" s="80" t="s">
        <v>5</v>
      </c>
      <c r="C592" s="87">
        <v>85</v>
      </c>
      <c r="D592" s="82">
        <f>E590+E591</f>
        <v>0</v>
      </c>
      <c r="E592" s="82">
        <f>C592*D592/100</f>
        <v>0</v>
      </c>
    </row>
    <row r="593" spans="1:5" ht="12.75" hidden="1">
      <c r="A593" s="79" t="s">
        <v>135</v>
      </c>
      <c r="B593" s="80" t="s">
        <v>20</v>
      </c>
      <c r="C593" s="80">
        <f>+C$406</f>
        <v>60</v>
      </c>
      <c r="D593" s="82">
        <f>E592</f>
        <v>0</v>
      </c>
      <c r="E593" s="82">
        <f>D593/C593</f>
        <v>0</v>
      </c>
    </row>
    <row r="594" ht="12.75" hidden="1">
      <c r="F594" s="91">
        <f>E593</f>
        <v>0</v>
      </c>
    </row>
    <row r="595" ht="11.25" customHeight="1" hidden="1"/>
    <row r="596" ht="12.75" hidden="1">
      <c r="A596" s="1" t="s">
        <v>181</v>
      </c>
    </row>
    <row r="597" spans="1:6" ht="12.75" hidden="1">
      <c r="A597" s="72" t="s">
        <v>14</v>
      </c>
      <c r="B597" s="73" t="s">
        <v>15</v>
      </c>
      <c r="C597" s="73" t="s">
        <v>9</v>
      </c>
      <c r="D597" s="74" t="s">
        <v>16</v>
      </c>
      <c r="E597" s="74" t="s">
        <v>17</v>
      </c>
      <c r="F597" s="75" t="s">
        <v>18</v>
      </c>
    </row>
    <row r="598" spans="1:5" ht="12.75" hidden="1">
      <c r="A598" s="140" t="s">
        <v>169</v>
      </c>
      <c r="B598" s="77" t="s">
        <v>68</v>
      </c>
      <c r="C598" s="77">
        <v>6</v>
      </c>
      <c r="D598" s="78">
        <f>+D541</f>
        <v>822</v>
      </c>
      <c r="E598" s="78">
        <f>C598*D598</f>
        <v>4932</v>
      </c>
    </row>
    <row r="599" spans="1:5" ht="12.75" hidden="1">
      <c r="A599" s="76" t="s">
        <v>139</v>
      </c>
      <c r="B599" s="77" t="s">
        <v>68</v>
      </c>
      <c r="C599" s="77">
        <f>C598</f>
        <v>6</v>
      </c>
      <c r="D599" s="78">
        <f>D542</f>
        <v>247</v>
      </c>
      <c r="E599" s="78">
        <f>C599*D599</f>
        <v>1482</v>
      </c>
    </row>
    <row r="600" spans="1:5" ht="12.75" hidden="1">
      <c r="A600" s="79" t="s">
        <v>140</v>
      </c>
      <c r="B600" s="80" t="s">
        <v>141</v>
      </c>
      <c r="C600" s="134">
        <v>70000</v>
      </c>
      <c r="D600" s="82">
        <f>E598+E599</f>
        <v>6414</v>
      </c>
      <c r="E600" s="82">
        <f>D600/C600</f>
        <v>0.09162857142857143</v>
      </c>
    </row>
    <row r="601" spans="1:5" ht="12.75" hidden="1">
      <c r="A601" s="79" t="s">
        <v>142</v>
      </c>
      <c r="B601" s="80" t="s">
        <v>121</v>
      </c>
      <c r="C601" s="134">
        <f>C577</f>
        <v>0</v>
      </c>
      <c r="D601" s="82">
        <f>E600</f>
        <v>0.09162857142857143</v>
      </c>
      <c r="E601" s="82">
        <f>C601*D601</f>
        <v>0</v>
      </c>
    </row>
    <row r="602" ht="12.75" hidden="1">
      <c r="F602" s="91">
        <f>+E601</f>
        <v>0</v>
      </c>
    </row>
    <row r="603" ht="11.25" customHeight="1" hidden="1"/>
    <row r="604" spans="1:6" ht="12.75" hidden="1">
      <c r="A604" s="136" t="s">
        <v>182</v>
      </c>
      <c r="B604" s="181">
        <f>F602+F594+F586+F572+F564+F558</f>
        <v>0</v>
      </c>
      <c r="C604" s="181"/>
      <c r="F604" s="125"/>
    </row>
    <row r="605" ht="11.25" customHeight="1" hidden="1"/>
    <row r="606" ht="12.75" hidden="1">
      <c r="A606" s="1" t="s">
        <v>183</v>
      </c>
    </row>
    <row r="607" ht="11.25" customHeight="1" hidden="1"/>
    <row r="608" ht="12.75" hidden="1">
      <c r="A608" s="1" t="s">
        <v>184</v>
      </c>
    </row>
    <row r="609" spans="1:6" ht="12.75" hidden="1">
      <c r="A609" s="72" t="s">
        <v>14</v>
      </c>
      <c r="B609" s="73" t="s">
        <v>15</v>
      </c>
      <c r="C609" s="73" t="s">
        <v>9</v>
      </c>
      <c r="D609" s="74" t="s">
        <v>16</v>
      </c>
      <c r="E609" s="74" t="s">
        <v>17</v>
      </c>
      <c r="F609" s="75" t="s">
        <v>18</v>
      </c>
    </row>
    <row r="610" spans="1:5" ht="12.75" hidden="1">
      <c r="A610" s="76" t="s">
        <v>133</v>
      </c>
      <c r="B610" s="77" t="s">
        <v>68</v>
      </c>
      <c r="C610" s="77">
        <v>0</v>
      </c>
      <c r="D610" s="78">
        <v>191225</v>
      </c>
      <c r="E610" s="78">
        <f>C610*D610</f>
        <v>0</v>
      </c>
    </row>
    <row r="611" spans="1:5" ht="12.75" hidden="1">
      <c r="A611" s="79" t="s">
        <v>147</v>
      </c>
      <c r="B611" s="80" t="s">
        <v>68</v>
      </c>
      <c r="C611" s="80">
        <f>C610</f>
        <v>0</v>
      </c>
      <c r="D611" s="82">
        <f>+D306</f>
        <v>120000</v>
      </c>
      <c r="E611" s="82">
        <f>C611*D611</f>
        <v>0</v>
      </c>
    </row>
    <row r="612" spans="1:5" ht="12.75" hidden="1">
      <c r="A612" s="141" t="s">
        <v>185</v>
      </c>
      <c r="B612" s="80" t="s">
        <v>68</v>
      </c>
      <c r="C612" s="80">
        <v>0</v>
      </c>
      <c r="D612" s="82">
        <v>5850</v>
      </c>
      <c r="E612" s="82">
        <f>C612*D612</f>
        <v>0</v>
      </c>
    </row>
    <row r="613" spans="1:5" ht="12.75" hidden="1">
      <c r="A613" s="79" t="s">
        <v>96</v>
      </c>
      <c r="B613" s="80" t="s">
        <v>5</v>
      </c>
      <c r="C613" s="80">
        <v>80</v>
      </c>
      <c r="D613" s="82">
        <f>E610</f>
        <v>0</v>
      </c>
      <c r="E613" s="82">
        <f>C613*D613/100</f>
        <v>0</v>
      </c>
    </row>
    <row r="614" spans="1:5" ht="12.75" hidden="1">
      <c r="A614" s="79" t="s">
        <v>97</v>
      </c>
      <c r="B614" s="80" t="s">
        <v>5</v>
      </c>
      <c r="C614" s="80">
        <v>90</v>
      </c>
      <c r="D614" s="82">
        <f>E611+E612</f>
        <v>0</v>
      </c>
      <c r="E614" s="82">
        <f>C614*D614/100</f>
        <v>0</v>
      </c>
    </row>
    <row r="615" spans="1:5" ht="12.75" hidden="1">
      <c r="A615" s="79" t="s">
        <v>98</v>
      </c>
      <c r="B615" s="80" t="s">
        <v>20</v>
      </c>
      <c r="C615" s="80">
        <v>60</v>
      </c>
      <c r="D615" s="82">
        <f>E613+E614</f>
        <v>0</v>
      </c>
      <c r="E615" s="82">
        <f>D615/C615</f>
        <v>0</v>
      </c>
    </row>
    <row r="616" ht="12.75" hidden="1">
      <c r="F616" s="91">
        <f>E615</f>
        <v>0</v>
      </c>
    </row>
    <row r="617" ht="11.25" customHeight="1" hidden="1"/>
    <row r="618" ht="12.75" hidden="1">
      <c r="A618" s="1" t="s">
        <v>186</v>
      </c>
    </row>
    <row r="619" spans="1:6" ht="12.75" hidden="1">
      <c r="A619" s="72" t="s">
        <v>14</v>
      </c>
      <c r="B619" s="73" t="s">
        <v>15</v>
      </c>
      <c r="C619" s="73" t="s">
        <v>9</v>
      </c>
      <c r="D619" s="74" t="s">
        <v>16</v>
      </c>
      <c r="E619" s="74" t="s">
        <v>17</v>
      </c>
      <c r="F619" s="75" t="s">
        <v>18</v>
      </c>
    </row>
    <row r="620" spans="1:6" ht="12.75" hidden="1">
      <c r="A620" s="76" t="s">
        <v>151</v>
      </c>
      <c r="B620" s="77" t="s">
        <v>68</v>
      </c>
      <c r="C620" s="77">
        <v>1</v>
      </c>
      <c r="D620" s="78">
        <f>E610+E611+E612</f>
        <v>0</v>
      </c>
      <c r="E620" s="78">
        <f>C620*D620</f>
        <v>0</v>
      </c>
      <c r="F620" s="85"/>
    </row>
    <row r="621" spans="1:6" ht="12.75" hidden="1">
      <c r="A621" s="79" t="s">
        <v>152</v>
      </c>
      <c r="B621" s="80" t="s">
        <v>5</v>
      </c>
      <c r="C621" s="80">
        <f>+C563</f>
        <v>0.1375</v>
      </c>
      <c r="D621" s="82">
        <f>E620</f>
        <v>0</v>
      </c>
      <c r="E621" s="82">
        <f>C621*D621/100</f>
        <v>0</v>
      </c>
      <c r="F621" s="85"/>
    </row>
    <row r="622" spans="3:6" ht="12.75" hidden="1">
      <c r="C622" s="84"/>
      <c r="D622" s="85"/>
      <c r="E622" s="85"/>
      <c r="F622" s="91">
        <f>E621</f>
        <v>0</v>
      </c>
    </row>
    <row r="623" ht="11.25" customHeight="1" hidden="1"/>
    <row r="624" ht="12.75" hidden="1">
      <c r="A624" s="1" t="s">
        <v>187</v>
      </c>
    </row>
    <row r="625" spans="1:6" ht="12.75" hidden="1">
      <c r="A625" s="72" t="s">
        <v>14</v>
      </c>
      <c r="B625" s="73" t="s">
        <v>15</v>
      </c>
      <c r="C625" s="73" t="s">
        <v>9</v>
      </c>
      <c r="D625" s="74" t="s">
        <v>16</v>
      </c>
      <c r="E625" s="74" t="s">
        <v>17</v>
      </c>
      <c r="F625" s="75" t="s">
        <v>18</v>
      </c>
    </row>
    <row r="626" spans="1:5" ht="12.75" hidden="1">
      <c r="A626" s="76" t="s">
        <v>154</v>
      </c>
      <c r="B626" s="77" t="s">
        <v>68</v>
      </c>
      <c r="C626" s="77">
        <f>C610</f>
        <v>0</v>
      </c>
      <c r="D626" s="78">
        <f>0.01*D610</f>
        <v>1912.25</v>
      </c>
      <c r="E626" s="78">
        <f>C626*D626</f>
        <v>0</v>
      </c>
    </row>
    <row r="627" spans="1:5" ht="12.75" hidden="1">
      <c r="A627" s="79" t="s">
        <v>155</v>
      </c>
      <c r="B627" s="80" t="s">
        <v>68</v>
      </c>
      <c r="C627" s="80">
        <f>C610</f>
        <v>0</v>
      </c>
      <c r="D627" s="82">
        <f>+D345</f>
        <v>99.65</v>
      </c>
      <c r="E627" s="82">
        <f>C627*D627</f>
        <v>0</v>
      </c>
    </row>
    <row r="628" spans="1:6" ht="12.75" hidden="1">
      <c r="A628" s="79" t="s">
        <v>156</v>
      </c>
      <c r="B628" s="80" t="s">
        <v>68</v>
      </c>
      <c r="C628" s="80">
        <f>C610</f>
        <v>0</v>
      </c>
      <c r="D628" s="82">
        <f>+D346</f>
        <v>1500</v>
      </c>
      <c r="E628" s="82">
        <f>C628*D628</f>
        <v>0</v>
      </c>
      <c r="F628" s="125"/>
    </row>
    <row r="629" spans="1:5" ht="12.75" hidden="1">
      <c r="A629" s="79" t="s">
        <v>116</v>
      </c>
      <c r="B629" s="80" t="s">
        <v>20</v>
      </c>
      <c r="C629" s="80">
        <v>12</v>
      </c>
      <c r="D629" s="82">
        <f>SUM(E626:E628)</f>
        <v>0</v>
      </c>
      <c r="E629" s="82">
        <f>D629/C629</f>
        <v>0</v>
      </c>
    </row>
    <row r="630" ht="12.75" hidden="1">
      <c r="F630" s="91">
        <f>E629</f>
        <v>0</v>
      </c>
    </row>
    <row r="631" ht="11.25" customHeight="1" hidden="1"/>
    <row r="632" spans="1:2" ht="12.75" hidden="1">
      <c r="A632" s="1" t="s">
        <v>188</v>
      </c>
      <c r="B632" s="126"/>
    </row>
    <row r="633" spans="1:6" ht="12.75" hidden="1">
      <c r="A633" s="72" t="s">
        <v>14</v>
      </c>
      <c r="B633" s="73" t="s">
        <v>15</v>
      </c>
      <c r="C633" s="73" t="s">
        <v>9</v>
      </c>
      <c r="D633" s="74" t="s">
        <v>16</v>
      </c>
      <c r="E633" s="74" t="s">
        <v>17</v>
      </c>
      <c r="F633" s="75" t="s">
        <v>18</v>
      </c>
    </row>
    <row r="634" spans="1:5" ht="12.75" hidden="1">
      <c r="A634" s="76" t="s">
        <v>118</v>
      </c>
      <c r="B634" s="77" t="s">
        <v>119</v>
      </c>
      <c r="C634" s="137">
        <v>1.7</v>
      </c>
      <c r="D634" s="138">
        <f>+D364</f>
        <v>5.89</v>
      </c>
      <c r="E634" s="78"/>
    </row>
    <row r="635" spans="1:5" ht="12.75" hidden="1">
      <c r="A635" s="79" t="s">
        <v>120</v>
      </c>
      <c r="B635" s="80" t="s">
        <v>121</v>
      </c>
      <c r="C635" s="134">
        <v>0</v>
      </c>
      <c r="D635" s="78">
        <f>+D634/C634</f>
        <v>3.464705882352941</v>
      </c>
      <c r="E635" s="82">
        <f>C635*D635</f>
        <v>0</v>
      </c>
    </row>
    <row r="636" spans="1:5" ht="12.75" hidden="1">
      <c r="A636" s="79" t="s">
        <v>122</v>
      </c>
      <c r="B636" s="80" t="s">
        <v>123</v>
      </c>
      <c r="C636" s="106">
        <v>6</v>
      </c>
      <c r="D636" s="82">
        <f>+D366</f>
        <v>25</v>
      </c>
      <c r="E636" s="82"/>
    </row>
    <row r="637" spans="1:5" ht="12.75" hidden="1">
      <c r="A637" s="79" t="s">
        <v>124</v>
      </c>
      <c r="B637" s="80" t="s">
        <v>121</v>
      </c>
      <c r="C637" s="134">
        <f>C635</f>
        <v>0</v>
      </c>
      <c r="D637" s="82">
        <f>+C636*D636</f>
        <v>150</v>
      </c>
      <c r="E637" s="82">
        <f>C637*D637/1000</f>
        <v>0</v>
      </c>
    </row>
    <row r="638" spans="1:5" ht="12.75" hidden="1">
      <c r="A638" s="79" t="s">
        <v>125</v>
      </c>
      <c r="B638" s="80" t="s">
        <v>123</v>
      </c>
      <c r="C638" s="106">
        <v>0.85</v>
      </c>
      <c r="D638" s="82">
        <f>+D368</f>
        <v>9.71</v>
      </c>
      <c r="E638" s="82"/>
    </row>
    <row r="639" spans="1:5" ht="12.75" hidden="1">
      <c r="A639" s="79" t="s">
        <v>126</v>
      </c>
      <c r="B639" s="80" t="s">
        <v>121</v>
      </c>
      <c r="C639" s="134">
        <f>C635</f>
        <v>0</v>
      </c>
      <c r="D639" s="82">
        <f>+C638*D638</f>
        <v>8.2535</v>
      </c>
      <c r="E639" s="82">
        <f>C639*D639/1000</f>
        <v>0</v>
      </c>
    </row>
    <row r="640" spans="1:5" ht="12.75" hidden="1">
      <c r="A640" s="79" t="s">
        <v>127</v>
      </c>
      <c r="B640" s="80" t="s">
        <v>123</v>
      </c>
      <c r="C640" s="106">
        <v>5</v>
      </c>
      <c r="D640" s="82">
        <f>+D370</f>
        <v>6.69</v>
      </c>
      <c r="E640" s="82"/>
    </row>
    <row r="641" spans="1:5" ht="12.75" hidden="1">
      <c r="A641" s="79" t="s">
        <v>128</v>
      </c>
      <c r="B641" s="80" t="s">
        <v>121</v>
      </c>
      <c r="C641" s="134">
        <f>C635</f>
        <v>0</v>
      </c>
      <c r="D641" s="82">
        <f>+C640*D640</f>
        <v>33.45</v>
      </c>
      <c r="E641" s="82">
        <f>C641*D641/1000</f>
        <v>0</v>
      </c>
    </row>
    <row r="642" spans="1:5" ht="12.75" hidden="1">
      <c r="A642" s="79" t="s">
        <v>129</v>
      </c>
      <c r="B642" s="80" t="s">
        <v>130</v>
      </c>
      <c r="C642" s="80">
        <v>2</v>
      </c>
      <c r="D642" s="82">
        <f>+D372</f>
        <v>7.72</v>
      </c>
      <c r="E642" s="82"/>
    </row>
    <row r="643" spans="1:5" ht="12.75" hidden="1">
      <c r="A643" s="79" t="s">
        <v>131</v>
      </c>
      <c r="B643" s="80" t="s">
        <v>121</v>
      </c>
      <c r="C643" s="134">
        <f>C635</f>
        <v>0</v>
      </c>
      <c r="D643" s="82">
        <f>+C642*D642</f>
        <v>15.44</v>
      </c>
      <c r="E643" s="82">
        <f>C643*D643/1000</f>
        <v>0</v>
      </c>
    </row>
    <row r="644" ht="12.75" hidden="1">
      <c r="F644" s="91">
        <f>SUM(E634:E643)</f>
        <v>0</v>
      </c>
    </row>
    <row r="645" ht="11.25" customHeight="1" hidden="1"/>
    <row r="646" ht="12.75" hidden="1">
      <c r="A646" s="1" t="s">
        <v>189</v>
      </c>
    </row>
    <row r="647" spans="1:6" ht="12.75" hidden="1">
      <c r="A647" s="72" t="s">
        <v>14</v>
      </c>
      <c r="B647" s="73" t="s">
        <v>15</v>
      </c>
      <c r="C647" s="73" t="s">
        <v>9</v>
      </c>
      <c r="D647" s="74" t="s">
        <v>16</v>
      </c>
      <c r="E647" s="74" t="s">
        <v>17</v>
      </c>
      <c r="F647" s="75" t="s">
        <v>18</v>
      </c>
    </row>
    <row r="648" spans="1:5" ht="12.75" hidden="1">
      <c r="A648" s="76" t="s">
        <v>133</v>
      </c>
      <c r="B648" s="77" t="s">
        <v>68</v>
      </c>
      <c r="C648" s="77">
        <f>C610</f>
        <v>0</v>
      </c>
      <c r="D648" s="78">
        <f>D610</f>
        <v>191225</v>
      </c>
      <c r="E648" s="78">
        <f>C648*D648</f>
        <v>0</v>
      </c>
    </row>
    <row r="649" spans="1:5" ht="12.75" hidden="1">
      <c r="A649" s="79" t="s">
        <v>147</v>
      </c>
      <c r="B649" s="80" t="s">
        <v>68</v>
      </c>
      <c r="C649" s="80">
        <f>C611</f>
        <v>0</v>
      </c>
      <c r="D649" s="82">
        <f>D611</f>
        <v>120000</v>
      </c>
      <c r="E649" s="82">
        <f>C649*D649</f>
        <v>0</v>
      </c>
    </row>
    <row r="650" spans="1:5" ht="12.75" hidden="1">
      <c r="A650" s="79" t="s">
        <v>190</v>
      </c>
      <c r="B650" s="80" t="s">
        <v>68</v>
      </c>
      <c r="C650" s="80">
        <v>0</v>
      </c>
      <c r="D650" s="82">
        <f>D612</f>
        <v>5850</v>
      </c>
      <c r="E650" s="82">
        <f>C650*D650</f>
        <v>0</v>
      </c>
    </row>
    <row r="651" spans="1:5" ht="12.75" hidden="1">
      <c r="A651" s="79" t="s">
        <v>134</v>
      </c>
      <c r="B651" s="80" t="s">
        <v>5</v>
      </c>
      <c r="C651" s="80">
        <v>85</v>
      </c>
      <c r="D651" s="82">
        <f>E648+E649+E650</f>
        <v>0</v>
      </c>
      <c r="E651" s="82">
        <f>C651*D651/100</f>
        <v>0</v>
      </c>
    </row>
    <row r="652" spans="1:5" ht="12.75" hidden="1">
      <c r="A652" s="79" t="s">
        <v>135</v>
      </c>
      <c r="B652" s="80" t="s">
        <v>20</v>
      </c>
      <c r="C652" s="80">
        <v>60</v>
      </c>
      <c r="D652" s="82">
        <f>E651</f>
        <v>0</v>
      </c>
      <c r="E652" s="82">
        <f>D652/C652</f>
        <v>0</v>
      </c>
    </row>
    <row r="653" ht="12.75" hidden="1">
      <c r="F653" s="91">
        <f>E652</f>
        <v>0</v>
      </c>
    </row>
    <row r="654" ht="11.25" customHeight="1" hidden="1"/>
    <row r="655" ht="12.75" hidden="1">
      <c r="A655" s="1" t="s">
        <v>191</v>
      </c>
    </row>
    <row r="656" spans="1:6" ht="12.75" hidden="1">
      <c r="A656" s="72" t="s">
        <v>14</v>
      </c>
      <c r="B656" s="73" t="s">
        <v>15</v>
      </c>
      <c r="C656" s="73" t="s">
        <v>9</v>
      </c>
      <c r="D656" s="74" t="s">
        <v>16</v>
      </c>
      <c r="E656" s="74" t="s">
        <v>17</v>
      </c>
      <c r="F656" s="75" t="s">
        <v>18</v>
      </c>
    </row>
    <row r="657" spans="1:5" ht="12.75" hidden="1">
      <c r="A657" s="76" t="s">
        <v>138</v>
      </c>
      <c r="B657" s="77" t="s">
        <v>68</v>
      </c>
      <c r="C657" s="77">
        <v>6</v>
      </c>
      <c r="D657" s="78">
        <f>+D414</f>
        <v>1700</v>
      </c>
      <c r="E657" s="78">
        <f>C657*D657</f>
        <v>10200</v>
      </c>
    </row>
    <row r="658" spans="1:5" ht="12.75" hidden="1">
      <c r="A658" s="76" t="s">
        <v>139</v>
      </c>
      <c r="B658" s="77" t="s">
        <v>68</v>
      </c>
      <c r="C658" s="77">
        <f>C657</f>
        <v>6</v>
      </c>
      <c r="D658" s="78">
        <f>+D415</f>
        <v>510</v>
      </c>
      <c r="E658" s="78">
        <f>C658*D658</f>
        <v>3060</v>
      </c>
    </row>
    <row r="659" spans="1:5" ht="12.75" hidden="1">
      <c r="A659" s="79" t="s">
        <v>140</v>
      </c>
      <c r="B659" s="80" t="s">
        <v>141</v>
      </c>
      <c r="C659" s="134">
        <v>70000</v>
      </c>
      <c r="D659" s="82">
        <f>E657+E658</f>
        <v>13260</v>
      </c>
      <c r="E659" s="82">
        <f>D659/C659</f>
        <v>0.18942857142857142</v>
      </c>
    </row>
    <row r="660" spans="1:5" ht="12.75" hidden="1">
      <c r="A660" s="79" t="s">
        <v>142</v>
      </c>
      <c r="B660" s="80" t="s">
        <v>121</v>
      </c>
      <c r="C660" s="134">
        <f>C635</f>
        <v>0</v>
      </c>
      <c r="D660" s="82">
        <f>E659</f>
        <v>0.18942857142857142</v>
      </c>
      <c r="E660" s="82">
        <f>C660*D660</f>
        <v>0</v>
      </c>
    </row>
    <row r="661" ht="12.75" hidden="1">
      <c r="F661" s="91">
        <f>E660</f>
        <v>0</v>
      </c>
    </row>
    <row r="662" ht="11.25" customHeight="1" hidden="1"/>
    <row r="663" spans="1:6" ht="12.75" hidden="1">
      <c r="A663" s="136" t="s">
        <v>192</v>
      </c>
      <c r="B663" s="181">
        <f>F661+F653+F644+F630+F622+F616</f>
        <v>0</v>
      </c>
      <c r="C663" s="181"/>
      <c r="F663" s="125"/>
    </row>
    <row r="664" ht="11.25" customHeight="1" hidden="1"/>
    <row r="665" spans="1:2" ht="12.75" hidden="1">
      <c r="A665" s="1" t="s">
        <v>193</v>
      </c>
      <c r="B665" s="1" t="s">
        <v>194</v>
      </c>
    </row>
    <row r="666" ht="11.25" customHeight="1" hidden="1"/>
    <row r="667" spans="1:6" ht="12.75" hidden="1">
      <c r="A667" s="72" t="s">
        <v>14</v>
      </c>
      <c r="B667" s="73" t="s">
        <v>15</v>
      </c>
      <c r="C667" s="73" t="s">
        <v>9</v>
      </c>
      <c r="D667" s="74" t="s">
        <v>16</v>
      </c>
      <c r="E667" s="74" t="s">
        <v>17</v>
      </c>
      <c r="F667" s="75" t="s">
        <v>18</v>
      </c>
    </row>
    <row r="668" spans="1:5" ht="12.75" hidden="1">
      <c r="A668" s="140" t="s">
        <v>195</v>
      </c>
      <c r="B668" s="77" t="s">
        <v>20</v>
      </c>
      <c r="C668" s="77">
        <v>0</v>
      </c>
      <c r="D668" s="78">
        <v>1197.72</v>
      </c>
      <c r="E668" s="78">
        <f>C668*D668</f>
        <v>0</v>
      </c>
    </row>
    <row r="669" spans="1:5" ht="12.75" hidden="1">
      <c r="A669" s="79" t="s">
        <v>196</v>
      </c>
      <c r="B669" s="80" t="s">
        <v>20</v>
      </c>
      <c r="C669" s="134">
        <v>0</v>
      </c>
      <c r="D669" s="82">
        <v>1313.07</v>
      </c>
      <c r="E669" s="78">
        <f>C669*D669</f>
        <v>0</v>
      </c>
    </row>
    <row r="670" spans="1:5" ht="12.75" hidden="1">
      <c r="A670" s="79" t="s">
        <v>197</v>
      </c>
      <c r="B670" s="80" t="s">
        <v>198</v>
      </c>
      <c r="C670" s="134">
        <v>0</v>
      </c>
      <c r="D670" s="142">
        <v>2.741</v>
      </c>
      <c r="E670" s="78">
        <f>C670*D670</f>
        <v>0</v>
      </c>
    </row>
    <row r="671" spans="1:5" ht="12.75" hidden="1">
      <c r="A671" s="79" t="s">
        <v>199</v>
      </c>
      <c r="B671" s="80" t="s">
        <v>68</v>
      </c>
      <c r="C671" s="134">
        <v>0</v>
      </c>
      <c r="D671" s="101">
        <v>20</v>
      </c>
      <c r="E671" s="101">
        <f>+D671*C671</f>
        <v>0</v>
      </c>
    </row>
    <row r="672" spans="4:6" ht="12.75" hidden="1">
      <c r="D672" s="143"/>
      <c r="F672" s="91">
        <f>SUM(E668:E671)</f>
        <v>0</v>
      </c>
    </row>
    <row r="673" ht="11.25" customHeight="1" hidden="1"/>
    <row r="674" ht="12.75" hidden="1">
      <c r="A674" s="1" t="s">
        <v>200</v>
      </c>
    </row>
    <row r="675" ht="11.25" customHeight="1" hidden="1"/>
    <row r="676" ht="12.75" hidden="1">
      <c r="A676" s="1" t="s">
        <v>201</v>
      </c>
    </row>
    <row r="677" spans="1:6" ht="12.75" hidden="1">
      <c r="A677" s="72" t="s">
        <v>14</v>
      </c>
      <c r="B677" s="73" t="s">
        <v>15</v>
      </c>
      <c r="C677" s="73" t="s">
        <v>9</v>
      </c>
      <c r="D677" s="74" t="s">
        <v>16</v>
      </c>
      <c r="E677" s="74" t="s">
        <v>17</v>
      </c>
      <c r="F677" s="75" t="s">
        <v>18</v>
      </c>
    </row>
    <row r="678" spans="1:5" ht="12.75" hidden="1">
      <c r="A678" s="76" t="s">
        <v>202</v>
      </c>
      <c r="B678" s="77" t="s">
        <v>68</v>
      </c>
      <c r="C678" s="77">
        <v>0</v>
      </c>
      <c r="D678" s="78">
        <v>1811.72</v>
      </c>
      <c r="E678" s="78">
        <f>C678*D678</f>
        <v>0</v>
      </c>
    </row>
    <row r="679" spans="1:5" ht="12.75" hidden="1">
      <c r="A679" s="79" t="s">
        <v>203</v>
      </c>
      <c r="B679" s="80" t="s">
        <v>5</v>
      </c>
      <c r="C679" s="80">
        <v>90</v>
      </c>
      <c r="D679" s="82">
        <f>E678</f>
        <v>0</v>
      </c>
      <c r="E679" s="82">
        <f>C679*D679/100</f>
        <v>0</v>
      </c>
    </row>
    <row r="680" spans="1:5" ht="12.75" hidden="1">
      <c r="A680" s="79" t="s">
        <v>204</v>
      </c>
      <c r="B680" s="80" t="s">
        <v>20</v>
      </c>
      <c r="C680" s="80">
        <v>60</v>
      </c>
      <c r="D680" s="82">
        <f>E679</f>
        <v>0</v>
      </c>
      <c r="E680" s="82">
        <f>D680/C680</f>
        <v>0</v>
      </c>
    </row>
    <row r="681" ht="12.75" hidden="1">
      <c r="F681" s="91">
        <f>E680</f>
        <v>0</v>
      </c>
    </row>
    <row r="682" ht="11.25" customHeight="1" hidden="1"/>
    <row r="683" ht="12.75" hidden="1">
      <c r="A683" s="1" t="s">
        <v>205</v>
      </c>
    </row>
    <row r="684" spans="1:6" ht="12.75" hidden="1">
      <c r="A684" s="72" t="s">
        <v>14</v>
      </c>
      <c r="B684" s="73" t="s">
        <v>15</v>
      </c>
      <c r="C684" s="73" t="s">
        <v>9</v>
      </c>
      <c r="D684" s="74" t="s">
        <v>16</v>
      </c>
      <c r="E684" s="74" t="s">
        <v>17</v>
      </c>
      <c r="F684" s="75" t="s">
        <v>18</v>
      </c>
    </row>
    <row r="685" spans="1:6" ht="12.75" hidden="1">
      <c r="A685" s="76" t="s">
        <v>206</v>
      </c>
      <c r="B685" s="77" t="s">
        <v>68</v>
      </c>
      <c r="C685" s="77">
        <v>1</v>
      </c>
      <c r="D685" s="78">
        <f>E678</f>
        <v>0</v>
      </c>
      <c r="E685" s="78">
        <f>C685*D685</f>
        <v>0</v>
      </c>
      <c r="F685" s="85"/>
    </row>
    <row r="686" spans="1:6" ht="12.75" hidden="1">
      <c r="A686" s="79" t="s">
        <v>152</v>
      </c>
      <c r="B686" s="80" t="s">
        <v>5</v>
      </c>
      <c r="C686" s="80">
        <v>0.5</v>
      </c>
      <c r="D686" s="82">
        <f>E685</f>
        <v>0</v>
      </c>
      <c r="E686" s="82">
        <f>C686*D686/100</f>
        <v>0</v>
      </c>
      <c r="F686" s="85"/>
    </row>
    <row r="687" spans="3:6" ht="12.75" hidden="1">
      <c r="C687" s="84"/>
      <c r="D687" s="85"/>
      <c r="E687" s="85"/>
      <c r="F687" s="91">
        <f>E686</f>
        <v>0</v>
      </c>
    </row>
    <row r="688" ht="11.25" customHeight="1" hidden="1"/>
    <row r="689" ht="12.75" hidden="1">
      <c r="A689" s="1" t="s">
        <v>207</v>
      </c>
    </row>
    <row r="690" spans="1:6" ht="12.75" hidden="1">
      <c r="A690" s="72" t="s">
        <v>14</v>
      </c>
      <c r="B690" s="73" t="s">
        <v>15</v>
      </c>
      <c r="C690" s="73" t="s">
        <v>9</v>
      </c>
      <c r="D690" s="74" t="s">
        <v>16</v>
      </c>
      <c r="E690" s="74" t="s">
        <v>17</v>
      </c>
      <c r="F690" s="75" t="s">
        <v>18</v>
      </c>
    </row>
    <row r="691" spans="1:5" ht="12.75" hidden="1">
      <c r="A691" s="76" t="s">
        <v>202</v>
      </c>
      <c r="B691" s="77" t="s">
        <v>68</v>
      </c>
      <c r="C691" s="77">
        <f>C678</f>
        <v>0</v>
      </c>
      <c r="D691" s="78">
        <f>D678</f>
        <v>1811.72</v>
      </c>
      <c r="E691" s="78">
        <f>C691*D691</f>
        <v>0</v>
      </c>
    </row>
    <row r="692" spans="1:5" ht="12.75" hidden="1">
      <c r="A692" s="79" t="s">
        <v>208</v>
      </c>
      <c r="B692" s="80" t="s">
        <v>5</v>
      </c>
      <c r="C692" s="80">
        <v>40</v>
      </c>
      <c r="D692" s="82">
        <f>E691</f>
        <v>0</v>
      </c>
      <c r="E692" s="82">
        <f>C692*D692/100</f>
        <v>0</v>
      </c>
    </row>
    <row r="693" spans="1:5" ht="12.75" hidden="1">
      <c r="A693" s="79" t="s">
        <v>209</v>
      </c>
      <c r="B693" s="80" t="s">
        <v>20</v>
      </c>
      <c r="C693" s="80">
        <v>60</v>
      </c>
      <c r="D693" s="82">
        <f>E692</f>
        <v>0</v>
      </c>
      <c r="E693" s="82">
        <f>D693/C693</f>
        <v>0</v>
      </c>
    </row>
    <row r="694" ht="12.75" hidden="1">
      <c r="F694" s="91">
        <f>E693</f>
        <v>0</v>
      </c>
    </row>
    <row r="695" ht="11.25" customHeight="1" hidden="1"/>
    <row r="696" spans="1:6" ht="12.75" hidden="1">
      <c r="A696" s="136" t="s">
        <v>210</v>
      </c>
      <c r="B696" s="181">
        <f>F694+F687+F681</f>
        <v>0</v>
      </c>
      <c r="C696" s="181"/>
      <c r="F696" s="125"/>
    </row>
    <row r="697" ht="11.25" customHeight="1" hidden="1"/>
    <row r="698" ht="12.75" hidden="1">
      <c r="A698" s="1" t="s">
        <v>211</v>
      </c>
    </row>
    <row r="699" ht="11.25" customHeight="1" hidden="1"/>
    <row r="700" ht="12.75" hidden="1">
      <c r="A700" s="1" t="s">
        <v>212</v>
      </c>
    </row>
    <row r="701" spans="1:6" ht="12.75" hidden="1">
      <c r="A701" s="72" t="s">
        <v>14</v>
      </c>
      <c r="B701" s="73" t="s">
        <v>15</v>
      </c>
      <c r="C701" s="73" t="s">
        <v>9</v>
      </c>
      <c r="D701" s="74" t="s">
        <v>16</v>
      </c>
      <c r="E701" s="74" t="s">
        <v>17</v>
      </c>
      <c r="F701" s="75" t="s">
        <v>18</v>
      </c>
    </row>
    <row r="702" spans="1:5" ht="12.75" hidden="1">
      <c r="A702" s="76" t="s">
        <v>202</v>
      </c>
      <c r="B702" s="77" t="s">
        <v>68</v>
      </c>
      <c r="C702" s="77">
        <v>0</v>
      </c>
      <c r="D702" s="78">
        <v>0</v>
      </c>
      <c r="E702" s="78">
        <f>C702*D702</f>
        <v>0</v>
      </c>
    </row>
    <row r="703" spans="1:5" ht="12.75" hidden="1">
      <c r="A703" s="79" t="s">
        <v>203</v>
      </c>
      <c r="B703" s="80" t="s">
        <v>5</v>
      </c>
      <c r="C703" s="80">
        <v>0</v>
      </c>
      <c r="D703" s="82">
        <f>E702</f>
        <v>0</v>
      </c>
      <c r="E703" s="82">
        <f>C703*D703/100</f>
        <v>0</v>
      </c>
    </row>
    <row r="704" spans="1:5" ht="12.75" hidden="1">
      <c r="A704" s="79" t="s">
        <v>204</v>
      </c>
      <c r="B704" s="80" t="s">
        <v>20</v>
      </c>
      <c r="C704" s="80">
        <f>+C680</f>
        <v>60</v>
      </c>
      <c r="D704" s="82">
        <f>E703</f>
        <v>0</v>
      </c>
      <c r="E704" s="82">
        <f>D704/C704</f>
        <v>0</v>
      </c>
    </row>
    <row r="705" ht="12.75" hidden="1">
      <c r="F705" s="91">
        <f>E704</f>
        <v>0</v>
      </c>
    </row>
    <row r="706" ht="11.25" customHeight="1" hidden="1"/>
    <row r="707" ht="12.75" hidden="1">
      <c r="A707" s="1" t="s">
        <v>213</v>
      </c>
    </row>
    <row r="708" spans="1:6" ht="12.75" hidden="1">
      <c r="A708" s="72" t="s">
        <v>14</v>
      </c>
      <c r="B708" s="73" t="s">
        <v>15</v>
      </c>
      <c r="C708" s="73" t="s">
        <v>9</v>
      </c>
      <c r="D708" s="74" t="s">
        <v>16</v>
      </c>
      <c r="E708" s="74" t="s">
        <v>17</v>
      </c>
      <c r="F708" s="75" t="s">
        <v>18</v>
      </c>
    </row>
    <row r="709" spans="1:6" ht="12.75" hidden="1">
      <c r="A709" s="76" t="s">
        <v>206</v>
      </c>
      <c r="B709" s="77" t="s">
        <v>68</v>
      </c>
      <c r="C709" s="77">
        <v>1</v>
      </c>
      <c r="D709" s="78">
        <f>E702</f>
        <v>0</v>
      </c>
      <c r="E709" s="78">
        <f>C709*D709</f>
        <v>0</v>
      </c>
      <c r="F709" s="85"/>
    </row>
    <row r="710" spans="1:6" ht="12.75" hidden="1">
      <c r="A710" s="79" t="s">
        <v>152</v>
      </c>
      <c r="B710" s="80" t="s">
        <v>5</v>
      </c>
      <c r="C710" s="80">
        <v>0.5</v>
      </c>
      <c r="D710" s="82">
        <f>E709</f>
        <v>0</v>
      </c>
      <c r="E710" s="82">
        <f>C710*D710/100</f>
        <v>0</v>
      </c>
      <c r="F710" s="85"/>
    </row>
    <row r="711" spans="3:6" ht="12.75" hidden="1">
      <c r="C711" s="84"/>
      <c r="D711" s="85"/>
      <c r="E711" s="85"/>
      <c r="F711" s="91">
        <f>E710</f>
        <v>0</v>
      </c>
    </row>
    <row r="712" ht="11.25" customHeight="1" hidden="1"/>
    <row r="713" ht="12.75" hidden="1">
      <c r="A713" s="1" t="s">
        <v>214</v>
      </c>
    </row>
    <row r="714" spans="1:6" ht="12.75" hidden="1">
      <c r="A714" s="72" t="s">
        <v>14</v>
      </c>
      <c r="B714" s="73" t="s">
        <v>15</v>
      </c>
      <c r="C714" s="73" t="s">
        <v>9</v>
      </c>
      <c r="D714" s="74" t="s">
        <v>16</v>
      </c>
      <c r="E714" s="74" t="s">
        <v>17</v>
      </c>
      <c r="F714" s="75" t="s">
        <v>18</v>
      </c>
    </row>
    <row r="715" spans="1:5" ht="12.75" hidden="1">
      <c r="A715" s="76" t="s">
        <v>202</v>
      </c>
      <c r="B715" s="77" t="s">
        <v>68</v>
      </c>
      <c r="C715" s="77">
        <f>C702</f>
        <v>0</v>
      </c>
      <c r="D715" s="78">
        <f>D702</f>
        <v>0</v>
      </c>
      <c r="E715" s="78">
        <f>C715*D715</f>
        <v>0</v>
      </c>
    </row>
    <row r="716" spans="1:5" ht="12.75" hidden="1">
      <c r="A716" s="79" t="s">
        <v>208</v>
      </c>
      <c r="B716" s="80" t="s">
        <v>5</v>
      </c>
      <c r="C716" s="80">
        <v>0</v>
      </c>
      <c r="D716" s="82">
        <f>E715</f>
        <v>0</v>
      </c>
      <c r="E716" s="82">
        <f>C716*D716/100</f>
        <v>0</v>
      </c>
    </row>
    <row r="717" spans="1:5" ht="12.75" hidden="1">
      <c r="A717" s="79" t="s">
        <v>209</v>
      </c>
      <c r="B717" s="80" t="s">
        <v>20</v>
      </c>
      <c r="C717" s="80">
        <f>+C693</f>
        <v>60</v>
      </c>
      <c r="D717" s="82">
        <f>E716</f>
        <v>0</v>
      </c>
      <c r="E717" s="82">
        <f>D717/C717</f>
        <v>0</v>
      </c>
    </row>
    <row r="718" ht="12.75" hidden="1">
      <c r="F718" s="91">
        <f>E717</f>
        <v>0</v>
      </c>
    </row>
    <row r="719" ht="11.25" customHeight="1" hidden="1"/>
    <row r="720" spans="1:6" ht="12.75" hidden="1">
      <c r="A720" s="136" t="s">
        <v>215</v>
      </c>
      <c r="B720" s="181">
        <f>F718+F711+F705</f>
        <v>0</v>
      </c>
      <c r="C720" s="181"/>
      <c r="F720" s="125"/>
    </row>
    <row r="721" ht="11.25" customHeight="1"/>
    <row r="722" spans="1:6" ht="12.75">
      <c r="A722" s="103" t="s">
        <v>216</v>
      </c>
      <c r="B722" s="104"/>
      <c r="C722" s="104"/>
      <c r="D722" s="26"/>
      <c r="E722" s="105"/>
      <c r="F722" s="91">
        <f>+SUM(F305:F721)</f>
        <v>7687.640202701324</v>
      </c>
    </row>
    <row r="723" ht="11.25" customHeight="1"/>
    <row r="724" spans="1:6" ht="12.75" hidden="1">
      <c r="A724" s="144" t="s">
        <v>217</v>
      </c>
      <c r="B724" s="144"/>
      <c r="C724" s="144"/>
      <c r="D724" s="50"/>
      <c r="E724" s="50"/>
      <c r="F724" s="125"/>
    </row>
    <row r="725" ht="11.25" customHeight="1" hidden="1"/>
    <row r="726" spans="1:6" ht="12.75" hidden="1">
      <c r="A726" s="72" t="s">
        <v>14</v>
      </c>
      <c r="B726" s="73" t="s">
        <v>15</v>
      </c>
      <c r="C726" s="73" t="s">
        <v>9</v>
      </c>
      <c r="D726" s="74" t="s">
        <v>16</v>
      </c>
      <c r="E726" s="74" t="s">
        <v>17</v>
      </c>
      <c r="F726" s="75" t="s">
        <v>18</v>
      </c>
    </row>
    <row r="727" spans="1:6" ht="12.75" hidden="1">
      <c r="A727" s="79" t="s">
        <v>218</v>
      </c>
      <c r="B727" s="80" t="s">
        <v>68</v>
      </c>
      <c r="C727" s="145">
        <v>0</v>
      </c>
      <c r="D727" s="82">
        <v>42</v>
      </c>
      <c r="E727" s="82">
        <f aca="true" t="shared" si="3" ref="E727:E732">C727*D727</f>
        <v>0</v>
      </c>
      <c r="F727" s="85"/>
    </row>
    <row r="728" spans="1:6" ht="12.75" hidden="1">
      <c r="A728" s="79" t="s">
        <v>219</v>
      </c>
      <c r="B728" s="80" t="s">
        <v>68</v>
      </c>
      <c r="C728" s="145">
        <v>0</v>
      </c>
      <c r="D728" s="82">
        <v>15.6</v>
      </c>
      <c r="E728" s="82">
        <f t="shared" si="3"/>
        <v>0</v>
      </c>
      <c r="F728" s="85"/>
    </row>
    <row r="729" spans="1:6" ht="12.75" hidden="1">
      <c r="A729" s="79" t="s">
        <v>220</v>
      </c>
      <c r="B729" s="80" t="s">
        <v>68</v>
      </c>
      <c r="C729" s="145">
        <v>0</v>
      </c>
      <c r="D729" s="82">
        <v>7.5</v>
      </c>
      <c r="E729" s="82">
        <f t="shared" si="3"/>
        <v>0</v>
      </c>
      <c r="F729" s="85"/>
    </row>
    <row r="730" spans="1:6" ht="12.75" hidden="1">
      <c r="A730" s="79" t="s">
        <v>221</v>
      </c>
      <c r="B730" s="80" t="s">
        <v>68</v>
      </c>
      <c r="C730" s="112">
        <f>+E45*(2/12)</f>
        <v>0</v>
      </c>
      <c r="D730" s="82">
        <f>12*(3*4)</f>
        <v>144</v>
      </c>
      <c r="E730" s="82">
        <f t="shared" si="3"/>
        <v>0</v>
      </c>
      <c r="F730" s="85"/>
    </row>
    <row r="731" spans="1:6" ht="12.75" hidden="1">
      <c r="A731" s="79" t="s">
        <v>222</v>
      </c>
      <c r="B731" s="80" t="s">
        <v>223</v>
      </c>
      <c r="C731" s="112">
        <v>0</v>
      </c>
      <c r="D731" s="82">
        <f>47*2*(2*1.35)</f>
        <v>253.8</v>
      </c>
      <c r="E731" s="82">
        <f t="shared" si="3"/>
        <v>0</v>
      </c>
      <c r="F731" s="85"/>
    </row>
    <row r="732" spans="1:6" ht="12.75" hidden="1">
      <c r="A732" s="79" t="s">
        <v>224</v>
      </c>
      <c r="B732" s="80" t="s">
        <v>223</v>
      </c>
      <c r="C732" s="112">
        <v>0</v>
      </c>
      <c r="D732" s="82">
        <f>47*2*(0.5*0.4)</f>
        <v>18.8</v>
      </c>
      <c r="E732" s="82">
        <f t="shared" si="3"/>
        <v>0</v>
      </c>
      <c r="F732" s="85"/>
    </row>
    <row r="733" spans="1:6" ht="12.75" hidden="1">
      <c r="A733" s="144"/>
      <c r="B733" s="144"/>
      <c r="C733" s="144"/>
      <c r="D733" s="144"/>
      <c r="E733" s="50"/>
      <c r="F733" s="91">
        <f>SUM(E727:E732)</f>
        <v>0</v>
      </c>
    </row>
    <row r="734" ht="11.25" customHeight="1" hidden="1"/>
    <row r="735" spans="1:6" ht="12.75" hidden="1">
      <c r="A735" s="103" t="s">
        <v>225</v>
      </c>
      <c r="B735" s="104"/>
      <c r="C735" s="104"/>
      <c r="D735" s="26"/>
      <c r="E735" s="105"/>
      <c r="F735" s="91">
        <f>+F733</f>
        <v>0</v>
      </c>
    </row>
    <row r="736" ht="11.25" customHeight="1" hidden="1"/>
    <row r="737" spans="1:6" ht="12.75" hidden="1">
      <c r="A737" s="144" t="s">
        <v>226</v>
      </c>
      <c r="B737" s="144"/>
      <c r="C737" s="144"/>
      <c r="D737" s="50"/>
      <c r="E737" s="50"/>
      <c r="F737" s="125"/>
    </row>
    <row r="738" ht="11.25" customHeight="1" hidden="1"/>
    <row r="739" spans="1:6" ht="12.75" hidden="1">
      <c r="A739" s="72" t="s">
        <v>14</v>
      </c>
      <c r="B739" s="73" t="s">
        <v>15</v>
      </c>
      <c r="C739" s="73" t="s">
        <v>9</v>
      </c>
      <c r="D739" s="74" t="s">
        <v>16</v>
      </c>
      <c r="E739" s="74" t="s">
        <v>17</v>
      </c>
      <c r="F739" s="75" t="s">
        <v>18</v>
      </c>
    </row>
    <row r="740" spans="1:6" ht="12.75" hidden="1">
      <c r="A740" s="79" t="s">
        <v>227</v>
      </c>
      <c r="B740" s="146" t="s">
        <v>223</v>
      </c>
      <c r="C740" s="92">
        <v>0</v>
      </c>
      <c r="D740" s="82">
        <v>2300</v>
      </c>
      <c r="E740" s="82">
        <f>+D740*C740</f>
        <v>0</v>
      </c>
      <c r="F740" s="85"/>
    </row>
    <row r="741" spans="1:6" ht="12.75" hidden="1">
      <c r="A741" s="79" t="s">
        <v>228</v>
      </c>
      <c r="B741" s="146" t="s">
        <v>223</v>
      </c>
      <c r="C741" s="92">
        <v>0</v>
      </c>
      <c r="D741" s="82">
        <v>3425</v>
      </c>
      <c r="E741" s="82">
        <f>+D741*C741</f>
        <v>0</v>
      </c>
      <c r="F741" s="85"/>
    </row>
    <row r="742" spans="1:6" ht="12.75" hidden="1">
      <c r="A742" s="79" t="s">
        <v>229</v>
      </c>
      <c r="B742" s="146" t="s">
        <v>223</v>
      </c>
      <c r="C742" s="92">
        <v>0</v>
      </c>
      <c r="D742" s="82">
        <v>3190</v>
      </c>
      <c r="E742" s="82">
        <f>+D742*C742</f>
        <v>0</v>
      </c>
      <c r="F742" s="85"/>
    </row>
    <row r="743" spans="1:6" ht="12.75" hidden="1">
      <c r="A743" s="147" t="s">
        <v>230</v>
      </c>
      <c r="B743" s="148" t="s">
        <v>20</v>
      </c>
      <c r="C743" s="149">
        <v>60</v>
      </c>
      <c r="D743" s="150">
        <f>SUM(E740:E742)</f>
        <v>0</v>
      </c>
      <c r="E743" s="150">
        <f>+D743/C743</f>
        <v>0</v>
      </c>
      <c r="F743" s="85"/>
    </row>
    <row r="744" spans="1:6" ht="12.75" hidden="1">
      <c r="A744" s="79" t="s">
        <v>231</v>
      </c>
      <c r="B744" s="80" t="s">
        <v>68</v>
      </c>
      <c r="C744" s="92">
        <f>+C740</f>
        <v>0</v>
      </c>
      <c r="D744" s="82">
        <v>240</v>
      </c>
      <c r="E744" s="82">
        <f>C744*D744</f>
        <v>0</v>
      </c>
      <c r="F744" s="85"/>
    </row>
    <row r="745" spans="1:6" ht="12.75" hidden="1">
      <c r="A745" s="79" t="s">
        <v>232</v>
      </c>
      <c r="B745" s="80" t="s">
        <v>68</v>
      </c>
      <c r="C745" s="92">
        <f>+C741</f>
        <v>0</v>
      </c>
      <c r="D745" s="82">
        <v>171.25</v>
      </c>
      <c r="E745" s="82">
        <f>C745*D745</f>
        <v>0</v>
      </c>
      <c r="F745" s="85"/>
    </row>
    <row r="746" spans="1:6" ht="12.75" hidden="1">
      <c r="A746" s="147" t="s">
        <v>135</v>
      </c>
      <c r="B746" s="148" t="s">
        <v>20</v>
      </c>
      <c r="C746" s="149">
        <v>1</v>
      </c>
      <c r="D746" s="150">
        <f>+E744+E745</f>
        <v>0</v>
      </c>
      <c r="E746" s="150">
        <f>+D746/C746</f>
        <v>0</v>
      </c>
      <c r="F746" s="85"/>
    </row>
    <row r="747" spans="1:6" ht="12.75" hidden="1">
      <c r="A747" s="151" t="s">
        <v>233</v>
      </c>
      <c r="B747" s="151"/>
      <c r="C747" s="151" t="s">
        <v>234</v>
      </c>
      <c r="D747" s="50"/>
      <c r="E747" s="50"/>
      <c r="F747" s="152">
        <f>+E743+E746</f>
        <v>0</v>
      </c>
    </row>
    <row r="748" spans="1:6" s="153" customFormat="1" ht="11.25" customHeight="1" hidden="1">
      <c r="A748" s="1"/>
      <c r="B748" s="1"/>
      <c r="C748" s="1"/>
      <c r="D748" s="2"/>
      <c r="E748" s="2"/>
      <c r="F748" s="2"/>
    </row>
    <row r="749" spans="1:6" ht="12.75" hidden="1">
      <c r="A749" s="103" t="s">
        <v>235</v>
      </c>
      <c r="B749" s="104"/>
      <c r="C749" s="104"/>
      <c r="D749" s="26"/>
      <c r="E749" s="105"/>
      <c r="F749" s="91">
        <f>+F747</f>
        <v>0</v>
      </c>
    </row>
    <row r="750" ht="11.25" customHeight="1"/>
    <row r="751" spans="1:6" ht="17.25" customHeight="1">
      <c r="A751" s="103" t="s">
        <v>236</v>
      </c>
      <c r="B751" s="113"/>
      <c r="C751" s="113"/>
      <c r="D751" s="114"/>
      <c r="E751" s="115"/>
      <c r="F751" s="100">
        <f>+F259+F297+F722+F735+F749</f>
        <v>29581.355669101322</v>
      </c>
    </row>
    <row r="752" ht="11.25" customHeight="1"/>
    <row r="753" ht="12.75">
      <c r="A753" s="71" t="s">
        <v>237</v>
      </c>
    </row>
    <row r="754" ht="11.25" customHeight="1"/>
    <row r="755" spans="1:6" ht="12.75">
      <c r="A755" s="72" t="s">
        <v>14</v>
      </c>
      <c r="B755" s="73" t="s">
        <v>15</v>
      </c>
      <c r="C755" s="73" t="s">
        <v>9</v>
      </c>
      <c r="D755" s="74" t="s">
        <v>16</v>
      </c>
      <c r="E755" s="74" t="s">
        <v>17</v>
      </c>
      <c r="F755" s="75" t="s">
        <v>18</v>
      </c>
    </row>
    <row r="756" spans="1:6" ht="12.75">
      <c r="A756" s="120" t="s">
        <v>238</v>
      </c>
      <c r="B756" s="154" t="s">
        <v>5</v>
      </c>
      <c r="C756" s="155">
        <v>4.67</v>
      </c>
      <c r="D756" s="122">
        <f>+F751</f>
        <v>29581.355669101322</v>
      </c>
      <c r="E756" s="122">
        <f aca="true" t="shared" si="4" ref="E756:E763">C756*D756/100</f>
        <v>1381.4493097470317</v>
      </c>
      <c r="F756" s="156"/>
    </row>
    <row r="757" spans="1:6" ht="12.75">
      <c r="A757" s="120" t="s">
        <v>239</v>
      </c>
      <c r="B757" s="154" t="s">
        <v>5</v>
      </c>
      <c r="C757" s="155">
        <v>0.97</v>
      </c>
      <c r="D757" s="122">
        <f>+F751</f>
        <v>29581.355669101322</v>
      </c>
      <c r="E757" s="122">
        <f t="shared" si="4"/>
        <v>286.93914999028283</v>
      </c>
      <c r="F757" s="156"/>
    </row>
    <row r="758" spans="1:6" ht="12.75">
      <c r="A758" s="120" t="s">
        <v>272</v>
      </c>
      <c r="B758" s="154" t="s">
        <v>5</v>
      </c>
      <c r="C758" s="154">
        <v>0.74</v>
      </c>
      <c r="D758" s="122">
        <f>+F751</f>
        <v>29581.355669101322</v>
      </c>
      <c r="E758" s="122">
        <f t="shared" si="4"/>
        <v>218.90203195134978</v>
      </c>
      <c r="F758" s="91"/>
    </row>
    <row r="759" spans="1:6" ht="12.75">
      <c r="A759" s="120" t="s">
        <v>271</v>
      </c>
      <c r="B759" s="154" t="s">
        <v>5</v>
      </c>
      <c r="C759" s="154">
        <v>1.21</v>
      </c>
      <c r="D759" s="122">
        <f>+F751</f>
        <v>29581.355669101322</v>
      </c>
      <c r="E759" s="122">
        <f t="shared" si="4"/>
        <v>357.934403596126</v>
      </c>
      <c r="F759" s="91"/>
    </row>
    <row r="760" spans="1:6" ht="12.75">
      <c r="A760" s="120" t="s">
        <v>240</v>
      </c>
      <c r="B760" s="154" t="s">
        <v>5</v>
      </c>
      <c r="C760" s="154">
        <v>7.71</v>
      </c>
      <c r="D760" s="122">
        <f>+F751</f>
        <v>29581.355669101322</v>
      </c>
      <c r="E760" s="122">
        <f t="shared" si="4"/>
        <v>2280.7225220877117</v>
      </c>
      <c r="F760" s="91"/>
    </row>
    <row r="761" spans="1:6" ht="12.75">
      <c r="A761" s="120" t="s">
        <v>241</v>
      </c>
      <c r="B761" s="154" t="s">
        <v>5</v>
      </c>
      <c r="C761" s="154">
        <v>4.65</v>
      </c>
      <c r="D761" s="122">
        <f>+F751</f>
        <v>29581.355669101322</v>
      </c>
      <c r="E761" s="122">
        <f t="shared" si="4"/>
        <v>1375.5330386132116</v>
      </c>
      <c r="F761" s="91"/>
    </row>
    <row r="762" spans="1:6" ht="12.75">
      <c r="A762" s="120" t="s">
        <v>242</v>
      </c>
      <c r="B762" s="154" t="s">
        <v>5</v>
      </c>
      <c r="C762" s="154">
        <v>2</v>
      </c>
      <c r="D762" s="122">
        <f>+F751</f>
        <v>29581.355669101322</v>
      </c>
      <c r="E762" s="122">
        <f t="shared" si="4"/>
        <v>591.6271133820264</v>
      </c>
      <c r="F762" s="91"/>
    </row>
    <row r="763" spans="1:6" ht="11.25" customHeight="1">
      <c r="A763" s="120"/>
      <c r="B763" s="120"/>
      <c r="C763" s="154">
        <f>SUM(C756:C762)</f>
        <v>21.950000000000003</v>
      </c>
      <c r="D763" s="156"/>
      <c r="E763" s="122">
        <f t="shared" si="4"/>
        <v>0</v>
      </c>
      <c r="F763" s="156"/>
    </row>
    <row r="764" spans="1:6" ht="12.75">
      <c r="A764" s="103" t="s">
        <v>243</v>
      </c>
      <c r="B764" s="104"/>
      <c r="C764" s="104"/>
      <c r="D764" s="26"/>
      <c r="E764" s="105"/>
      <c r="F764" s="91">
        <f>E756+E757+E758+E759+E760+E761+E762</f>
        <v>6493.10756936774</v>
      </c>
    </row>
    <row r="765" ht="11.25" customHeight="1"/>
    <row r="766" spans="1:6" ht="12.75">
      <c r="A766" s="103" t="s">
        <v>244</v>
      </c>
      <c r="B766" s="113"/>
      <c r="C766" s="113"/>
      <c r="D766" s="114"/>
      <c r="E766" s="115"/>
      <c r="F766" s="100">
        <f>F751+F764</f>
        <v>36074.46323846906</v>
      </c>
    </row>
    <row r="767" spans="1:6" ht="12" customHeight="1">
      <c r="A767" s="157"/>
      <c r="B767" s="157"/>
      <c r="C767" s="157"/>
      <c r="D767" s="13"/>
      <c r="E767" s="13"/>
      <c r="F767" s="13"/>
    </row>
    <row r="768" spans="1:6" s="6" customFormat="1" ht="7.5" customHeight="1">
      <c r="A768" s="68"/>
      <c r="B768" s="69"/>
      <c r="C768" s="69"/>
      <c r="D768" s="70"/>
      <c r="E768" s="70"/>
      <c r="F768" s="70"/>
    </row>
    <row r="769" spans="1:6" s="6" customFormat="1" ht="12" customHeight="1">
      <c r="A769" s="13"/>
      <c r="B769" s="2"/>
      <c r="C769" s="2"/>
      <c r="D769" s="2"/>
      <c r="E769" s="2"/>
      <c r="F769" s="2"/>
    </row>
    <row r="770" spans="1:5" ht="15.75">
      <c r="A770" s="182" t="s">
        <v>245</v>
      </c>
      <c r="B770" s="182"/>
      <c r="C770" s="182"/>
      <c r="D770" s="182"/>
      <c r="E770" s="182"/>
    </row>
    <row r="771" ht="9.75" customHeight="1"/>
    <row r="772" spans="1:5" ht="15.75" customHeight="1">
      <c r="A772" s="158" t="s">
        <v>246</v>
      </c>
      <c r="B772" s="159"/>
      <c r="C772" s="62"/>
      <c r="D772" s="160" t="s">
        <v>247</v>
      </c>
      <c r="E772" s="161">
        <f>F766</f>
        <v>36074.46323846906</v>
      </c>
    </row>
    <row r="773" spans="1:5" ht="15">
      <c r="A773" s="162"/>
      <c r="B773" s="163"/>
      <c r="C773" s="163"/>
      <c r="D773" s="164"/>
      <c r="E773" s="165"/>
    </row>
    <row r="774" spans="1:5" ht="15.75" customHeight="1">
      <c r="A774" s="162" t="s">
        <v>248</v>
      </c>
      <c r="B774" s="163"/>
      <c r="C774" s="163"/>
      <c r="D774" s="166" t="s">
        <v>247</v>
      </c>
      <c r="E774" s="167">
        <f>59*139</f>
        <v>8201</v>
      </c>
    </row>
    <row r="775" spans="1:5" ht="15.75" customHeight="1">
      <c r="A775" s="168"/>
      <c r="B775" s="163"/>
      <c r="C775" s="163"/>
      <c r="D775" s="166"/>
      <c r="E775" s="167"/>
    </row>
    <row r="776" spans="1:5" ht="15.75" customHeight="1">
      <c r="A776" s="183" t="s">
        <v>249</v>
      </c>
      <c r="B776" s="183"/>
      <c r="C776" s="183"/>
      <c r="D776" s="169" t="s">
        <v>247</v>
      </c>
      <c r="E776" s="170">
        <f>E774+E772</f>
        <v>44275.46323846906</v>
      </c>
    </row>
    <row r="777" spans="4:5" ht="12.75">
      <c r="D777" s="50"/>
      <c r="E777" s="50"/>
    </row>
    <row r="778" spans="1:6" s="6" customFormat="1" ht="7.5" customHeight="1">
      <c r="A778" s="68"/>
      <c r="B778" s="69"/>
      <c r="C778" s="69"/>
      <c r="D778" s="70"/>
      <c r="E778" s="70"/>
      <c r="F778" s="70"/>
    </row>
    <row r="779" spans="1:6" s="6" customFormat="1" ht="9.75" customHeight="1">
      <c r="A779" s="13"/>
      <c r="B779" s="2"/>
      <c r="C779" s="2"/>
      <c r="D779" s="2"/>
      <c r="E779" s="2"/>
      <c r="F779" s="2"/>
    </row>
    <row r="780" spans="1:6" s="6" customFormat="1" ht="16.5" customHeight="1">
      <c r="A780" s="13" t="s">
        <v>26</v>
      </c>
      <c r="B780" s="2"/>
      <c r="C780" s="2"/>
      <c r="D780" s="2"/>
      <c r="E780" s="2"/>
      <c r="F780" s="2"/>
    </row>
    <row r="781" spans="1:6" s="71" customFormat="1" ht="12.75">
      <c r="A781" s="50"/>
      <c r="B781" s="171"/>
      <c r="C781" s="2"/>
      <c r="D781" s="2"/>
      <c r="E781" s="50"/>
      <c r="F781" s="50"/>
    </row>
    <row r="782" spans="1:6" s="174" customFormat="1" ht="16.5" customHeight="1">
      <c r="A782" s="172" t="s">
        <v>250</v>
      </c>
      <c r="B782" s="173"/>
      <c r="C782" s="2"/>
      <c r="D782" s="2"/>
      <c r="E782" s="172"/>
      <c r="F782" s="172"/>
    </row>
    <row r="783" spans="1:6" s="6" customFormat="1" ht="12.75" customHeight="1">
      <c r="A783" s="102" t="s">
        <v>251</v>
      </c>
      <c r="B783" s="175">
        <v>0.2</v>
      </c>
      <c r="C783" s="2"/>
      <c r="D783" s="2"/>
      <c r="E783" s="2"/>
      <c r="F783" s="2"/>
    </row>
    <row r="784" spans="1:6" s="6" customFormat="1" ht="12.75" customHeight="1">
      <c r="A784" s="102" t="s">
        <v>252</v>
      </c>
      <c r="B784" s="175">
        <v>0.08</v>
      </c>
      <c r="C784" s="2"/>
      <c r="D784" s="2"/>
      <c r="E784" s="2"/>
      <c r="F784" s="2"/>
    </row>
    <row r="785" spans="1:6" s="6" customFormat="1" ht="12.75" customHeight="1">
      <c r="A785" s="102" t="s">
        <v>253</v>
      </c>
      <c r="B785" s="175">
        <v>0.03</v>
      </c>
      <c r="C785" s="2"/>
      <c r="D785" s="2"/>
      <c r="E785" s="2"/>
      <c r="F785" s="2"/>
    </row>
    <row r="786" spans="1:6" s="6" customFormat="1" ht="12.75" customHeight="1">
      <c r="A786" s="102" t="s">
        <v>254</v>
      </c>
      <c r="B786" s="175">
        <v>0.025</v>
      </c>
      <c r="C786" s="2"/>
      <c r="D786" s="2"/>
      <c r="E786" s="2"/>
      <c r="F786" s="2"/>
    </row>
    <row r="787" spans="1:6" s="6" customFormat="1" ht="12.75" customHeight="1">
      <c r="A787" s="102" t="s">
        <v>255</v>
      </c>
      <c r="B787" s="175">
        <v>0.006</v>
      </c>
      <c r="C787" s="2"/>
      <c r="D787" s="2"/>
      <c r="E787" s="2"/>
      <c r="F787" s="2"/>
    </row>
    <row r="788" spans="1:6" s="6" customFormat="1" ht="12.75" customHeight="1">
      <c r="A788" s="102" t="s">
        <v>256</v>
      </c>
      <c r="B788" s="175">
        <v>0.015</v>
      </c>
      <c r="C788" s="2"/>
      <c r="D788" s="2"/>
      <c r="E788" s="2"/>
      <c r="F788" s="2"/>
    </row>
    <row r="789" spans="1:6" s="6" customFormat="1" ht="12.75" customHeight="1">
      <c r="A789" s="102" t="s">
        <v>257</v>
      </c>
      <c r="B789" s="175">
        <v>0.01</v>
      </c>
      <c r="C789" s="2"/>
      <c r="D789" s="2"/>
      <c r="E789" s="2"/>
      <c r="F789" s="2"/>
    </row>
    <row r="790" spans="1:6" s="6" customFormat="1" ht="12.75" customHeight="1">
      <c r="A790" s="102" t="s">
        <v>258</v>
      </c>
      <c r="B790" s="175">
        <v>0.002</v>
      </c>
      <c r="C790" s="2"/>
      <c r="D790" s="2"/>
      <c r="E790" s="2"/>
      <c r="F790" s="2"/>
    </row>
    <row r="791" spans="1:6" s="71" customFormat="1" ht="12.75" customHeight="1">
      <c r="A791" s="176" t="s">
        <v>259</v>
      </c>
      <c r="B791" s="177">
        <f>SUM(B783:B790)</f>
        <v>0.3680000000000001</v>
      </c>
      <c r="C791" s="2"/>
      <c r="D791" s="2"/>
      <c r="E791" s="50"/>
      <c r="F791" s="50"/>
    </row>
    <row r="792" ht="9" customHeight="1"/>
    <row r="793" spans="1:6" s="174" customFormat="1" ht="16.5" customHeight="1">
      <c r="A793" s="172" t="s">
        <v>260</v>
      </c>
      <c r="B793" s="178"/>
      <c r="C793" s="2"/>
      <c r="D793" s="2"/>
      <c r="E793" s="172"/>
      <c r="F793" s="172"/>
    </row>
    <row r="794" spans="1:6" s="6" customFormat="1" ht="12.75" customHeight="1">
      <c r="A794" s="102" t="s">
        <v>261</v>
      </c>
      <c r="B794" s="175">
        <v>0.1839</v>
      </c>
      <c r="C794" s="2"/>
      <c r="D794" s="2"/>
      <c r="E794" s="2"/>
      <c r="F794" s="2"/>
    </row>
    <row r="795" spans="1:6" s="6" customFormat="1" ht="12.75" customHeight="1">
      <c r="A795" s="102" t="s">
        <v>262</v>
      </c>
      <c r="B795" s="175">
        <v>0.1103</v>
      </c>
      <c r="C795" s="2"/>
      <c r="D795" s="2"/>
      <c r="E795" s="2"/>
      <c r="F795" s="2"/>
    </row>
    <row r="796" spans="1:6" s="6" customFormat="1" ht="12.75" customHeight="1">
      <c r="A796" s="102" t="s">
        <v>263</v>
      </c>
      <c r="B796" s="175">
        <v>0.0193</v>
      </c>
      <c r="C796" s="2"/>
      <c r="D796" s="2"/>
      <c r="E796" s="2"/>
      <c r="F796" s="2"/>
    </row>
    <row r="797" spans="1:6" s="71" customFormat="1" ht="12.75" customHeight="1">
      <c r="A797" s="176" t="s">
        <v>259</v>
      </c>
      <c r="B797" s="177">
        <f>SUM(B794:B796)</f>
        <v>0.3135</v>
      </c>
      <c r="C797" s="2"/>
      <c r="D797" s="2"/>
      <c r="E797" s="50"/>
      <c r="F797" s="50"/>
    </row>
    <row r="798" ht="9" customHeight="1"/>
    <row r="799" spans="1:6" s="174" customFormat="1" ht="16.5" customHeight="1">
      <c r="A799" s="172" t="s">
        <v>264</v>
      </c>
      <c r="B799" s="178"/>
      <c r="C799" s="5"/>
      <c r="D799" s="5"/>
      <c r="E799" s="172"/>
      <c r="F799" s="172"/>
    </row>
    <row r="800" spans="1:6" s="6" customFormat="1" ht="12.75" customHeight="1">
      <c r="A800" s="102" t="s">
        <v>265</v>
      </c>
      <c r="B800" s="175">
        <v>0.1103</v>
      </c>
      <c r="C800" s="2"/>
      <c r="D800" s="2"/>
      <c r="E800" s="2"/>
      <c r="F800" s="2"/>
    </row>
    <row r="801" spans="1:6" s="6" customFormat="1" ht="12.75" customHeight="1">
      <c r="A801" s="102" t="s">
        <v>266</v>
      </c>
      <c r="B801" s="175">
        <v>0.0549</v>
      </c>
      <c r="C801" s="2"/>
      <c r="D801" s="2"/>
      <c r="E801" s="2"/>
      <c r="F801" s="2"/>
    </row>
    <row r="802" spans="1:6" s="71" customFormat="1" ht="12.75" customHeight="1">
      <c r="A802" s="176" t="s">
        <v>259</v>
      </c>
      <c r="B802" s="177">
        <f>SUM(B800:B801)</f>
        <v>0.16519999999999999</v>
      </c>
      <c r="C802" s="2"/>
      <c r="E802"/>
      <c r="F802"/>
    </row>
    <row r="803" spans="4:6" ht="9" customHeight="1">
      <c r="D803"/>
      <c r="E803"/>
      <c r="F803"/>
    </row>
    <row r="804" spans="1:6" s="174" customFormat="1" ht="16.5" customHeight="1">
      <c r="A804" s="172" t="s">
        <v>267</v>
      </c>
      <c r="B804" s="178"/>
      <c r="C804" s="5"/>
      <c r="D804"/>
      <c r="E804"/>
      <c r="F804"/>
    </row>
    <row r="805" spans="1:6" s="6" customFormat="1" ht="12.75" customHeight="1">
      <c r="A805" s="102" t="s">
        <v>268</v>
      </c>
      <c r="B805" s="175">
        <f>+ROUND(B797*B791,4)</f>
        <v>0.1154</v>
      </c>
      <c r="C805" s="2"/>
      <c r="D805"/>
      <c r="E805"/>
      <c r="F805"/>
    </row>
    <row r="806" spans="1:6" s="6" customFormat="1" ht="12.75" customHeight="1">
      <c r="A806" s="102" t="s">
        <v>269</v>
      </c>
      <c r="B806" s="175">
        <f>+ROUND(B784*B795,4)</f>
        <v>0.0088</v>
      </c>
      <c r="C806" s="2"/>
      <c r="D806"/>
      <c r="E806"/>
      <c r="F806"/>
    </row>
    <row r="807" spans="4:6" ht="9" customHeight="1">
      <c r="D807"/>
      <c r="E807"/>
      <c r="F807"/>
    </row>
    <row r="808" spans="1:6" s="71" customFormat="1" ht="21.75" customHeight="1">
      <c r="A808" s="176" t="s">
        <v>270</v>
      </c>
      <c r="B808" s="177">
        <f>+B791+B797+B802+B805+B806</f>
        <v>0.9709000000000002</v>
      </c>
      <c r="C808" s="5"/>
      <c r="D808"/>
      <c r="E808"/>
      <c r="F808"/>
    </row>
    <row r="809" ht="9" customHeight="1"/>
    <row r="810" spans="1:6" s="6" customFormat="1" ht="7.5" customHeight="1">
      <c r="A810" s="68"/>
      <c r="B810" s="69"/>
      <c r="C810" s="69"/>
      <c r="D810" s="70"/>
      <c r="E810" s="70"/>
      <c r="F810" s="70"/>
    </row>
    <row r="811" spans="1:6" s="6" customFormat="1" ht="9.75" customHeight="1">
      <c r="A811" s="13"/>
      <c r="B811" s="2"/>
      <c r="C811" s="2"/>
      <c r="D811" s="2"/>
      <c r="E811" s="2"/>
      <c r="F811" s="2"/>
    </row>
  </sheetData>
  <sheetProtection selectLockedCells="1" selectUnlockedCells="1"/>
  <mergeCells count="24">
    <mergeCell ref="A5:F5"/>
    <mergeCell ref="A6:F6"/>
    <mergeCell ref="D9:E9"/>
    <mergeCell ref="D10:E10"/>
    <mergeCell ref="A11:C11"/>
    <mergeCell ref="D11:E11"/>
    <mergeCell ref="D12:E12"/>
    <mergeCell ref="D13:E13"/>
    <mergeCell ref="D14:E14"/>
    <mergeCell ref="D15:E15"/>
    <mergeCell ref="D16:E16"/>
    <mergeCell ref="A21:D21"/>
    <mergeCell ref="A41:D41"/>
    <mergeCell ref="A282:E282"/>
    <mergeCell ref="B432:C432"/>
    <mergeCell ref="A443:D444"/>
    <mergeCell ref="B490:C490"/>
    <mergeCell ref="B547:C547"/>
    <mergeCell ref="B604:C604"/>
    <mergeCell ref="B663:C663"/>
    <mergeCell ref="B696:C696"/>
    <mergeCell ref="B720:C720"/>
    <mergeCell ref="A770:E770"/>
    <mergeCell ref="A776:C776"/>
  </mergeCells>
  <printOptions/>
  <pageMargins left="0.5905511811023623" right="0.1968503937007874" top="0.7874015748031497" bottom="0.7874015748031497" header="0.5118110236220472" footer="0.5118110236220472"/>
  <pageSetup fitToHeight="7" fitToWidth="1" horizontalDpi="300" verticalDpi="300" orientation="landscape" paperSize="9" scale="80" r:id="rId1"/>
  <headerFooter alignWithMargins="0">
    <oddFooter>&amp;R&amp;P de &amp;N</oddFooter>
  </headerFooter>
  <rowBreaks count="1" manualBreakCount="1">
    <brk id="778" max="255" man="1"/>
  </rowBreaks>
  <ignoredErrors>
    <ignoredError sqref="E422 E428 D389 E416 D3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Usuario</dc:creator>
  <cp:keywords/>
  <dc:description/>
  <cp:lastModifiedBy>user</cp:lastModifiedBy>
  <cp:lastPrinted>2023-07-07T17:23:13Z</cp:lastPrinted>
  <dcterms:created xsi:type="dcterms:W3CDTF">2000-12-13T10:02:50Z</dcterms:created>
  <dcterms:modified xsi:type="dcterms:W3CDTF">2023-08-29T17:22:49Z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-277214568</vt:i4>
  </property>
  <property fmtid="{D5CDD505-2E9C-101B-9397-08002B2CF9AE}" pid="3" name="_AuthorEmail">
    <vt:lpwstr>comissaolimpezaurbana@smf.prefpoa.com.br</vt:lpwstr>
  </property>
  <property fmtid="{D5CDD505-2E9C-101B-9397-08002B2CF9AE}" pid="4" name="_AuthorEmailDisplayName">
    <vt:lpwstr>_SMF - Comissão Limpeza Urbana</vt:lpwstr>
  </property>
  <property fmtid="{D5CDD505-2E9C-101B-9397-08002B2CF9AE}" pid="5" name="_EmailSubject">
    <vt:lpwstr> Planilha</vt:lpwstr>
  </property>
  <property fmtid="{D5CDD505-2E9C-101B-9397-08002B2CF9AE}" pid="6" name="_ReviewingToolsShownOnce">
    <vt:lpwstr/>
  </property>
</Properties>
</file>